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empn\Desktop\"/>
    </mc:Choice>
  </mc:AlternateContent>
  <xr:revisionPtr revIDLastSave="0" documentId="8_{B18F5C99-391E-4956-9EEE-5CF74AFBFD07}" xr6:coauthVersionLast="45" xr6:coauthVersionMax="45" xr10:uidLastSave="{00000000-0000-0000-0000-000000000000}"/>
  <bookViews>
    <workbookView xWindow="-120" yWindow="-120" windowWidth="23280" windowHeight="15000" xr2:uid="{00000000-000D-0000-FFFF-FFFF00000000}"/>
  </bookViews>
  <sheets>
    <sheet name="Beregning" sheetId="1" r:id="rId1"/>
    <sheet name="Likvidit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 l="1"/>
  <c r="D48" i="1"/>
  <c r="C48" i="1"/>
  <c r="C12" i="1"/>
  <c r="C13" i="1" s="1"/>
  <c r="C33" i="1"/>
  <c r="C32" i="1"/>
  <c r="C17" i="1"/>
  <c r="C22" i="1"/>
  <c r="C47" i="1" l="1"/>
  <c r="B84" i="1"/>
  <c r="B83" i="1"/>
  <c r="B81" i="1"/>
  <c r="E58" i="1"/>
  <c r="O51" i="1"/>
  <c r="O71" i="1" s="1"/>
  <c r="P71" i="1" s="1"/>
  <c r="Q71" i="1" s="1"/>
  <c r="R71" i="1" s="1"/>
  <c r="S71" i="1" s="1"/>
  <c r="T71" i="1" s="1"/>
  <c r="U71" i="1" s="1"/>
  <c r="V71" i="1" s="1"/>
  <c r="W71" i="1" s="1"/>
  <c r="X71" i="1" s="1"/>
  <c r="Y71" i="1" s="1"/>
  <c r="Z71" i="1" s="1"/>
  <c r="AA71" i="1" s="1"/>
  <c r="C49" i="1" l="1"/>
  <c r="D47" i="1"/>
  <c r="E47" i="1" s="1"/>
  <c r="C54" i="1"/>
  <c r="F58" i="1"/>
  <c r="G58" i="1" s="1"/>
  <c r="H58" i="1" s="1"/>
  <c r="I58" i="1" s="1"/>
  <c r="J58" i="1" s="1"/>
  <c r="K58" i="1" s="1"/>
  <c r="L58" i="1" s="1"/>
  <c r="M58" i="1" s="1"/>
  <c r="N58" i="1" s="1"/>
  <c r="O58" i="1" s="1"/>
  <c r="P58" i="1" s="1"/>
  <c r="Q58" i="1" s="1"/>
  <c r="R58" i="1" s="1"/>
  <c r="S58" i="1" s="1"/>
  <c r="T58" i="1" s="1"/>
  <c r="U58" i="1" s="1"/>
  <c r="V58" i="1" s="1"/>
  <c r="W58" i="1" s="1"/>
  <c r="X58" i="1" s="1"/>
  <c r="Y58" i="1" s="1"/>
  <c r="Z58" i="1" s="1"/>
  <c r="D53" i="1" l="1"/>
  <c r="K55" i="1"/>
  <c r="S55" i="1"/>
  <c r="AA55" i="1"/>
  <c r="AD55" i="1"/>
  <c r="D55" i="1"/>
  <c r="L55" i="1"/>
  <c r="T55" i="1"/>
  <c r="AB55" i="1"/>
  <c r="V55" i="1"/>
  <c r="P55" i="1"/>
  <c r="Q55" i="1"/>
  <c r="R55" i="1"/>
  <c r="E55" i="1"/>
  <c r="M55" i="1"/>
  <c r="U55" i="1"/>
  <c r="AC55" i="1"/>
  <c r="N55" i="1"/>
  <c r="AF55" i="1"/>
  <c r="I55" i="1"/>
  <c r="C55" i="1"/>
  <c r="Z55" i="1"/>
  <c r="F55" i="1"/>
  <c r="G55" i="1"/>
  <c r="O55" i="1"/>
  <c r="W55" i="1"/>
  <c r="AE55" i="1"/>
  <c r="X55" i="1"/>
  <c r="Y55" i="1"/>
  <c r="J55" i="1"/>
  <c r="H55" i="1"/>
  <c r="F47" i="1"/>
  <c r="AA58" i="1"/>
  <c r="AB58" i="1" s="1"/>
  <c r="AC58" i="1" s="1"/>
  <c r="AD58" i="1" s="1"/>
  <c r="AE58" i="1" s="1"/>
  <c r="AF58" i="1" s="1"/>
  <c r="C81" i="1"/>
  <c r="AC54" i="1"/>
  <c r="AD54" i="1"/>
  <c r="AE54" i="1"/>
  <c r="AA54" i="1"/>
  <c r="AF54" i="1"/>
  <c r="AB54" i="1"/>
  <c r="D49" i="1"/>
  <c r="D81" i="1" s="1"/>
  <c r="R54" i="1"/>
  <c r="Y54" i="1"/>
  <c r="E54" i="1"/>
  <c r="K54" i="1"/>
  <c r="S54" i="1"/>
  <c r="Z54" i="1"/>
  <c r="U54" i="1"/>
  <c r="Q54" i="1"/>
  <c r="H54" i="1"/>
  <c r="W54" i="1"/>
  <c r="O54" i="1"/>
  <c r="G54" i="1"/>
  <c r="V54" i="1"/>
  <c r="M54" i="1"/>
  <c r="I54" i="1"/>
  <c r="J54" i="1"/>
  <c r="X54" i="1"/>
  <c r="N54" i="1"/>
  <c r="T54" i="1"/>
  <c r="P54" i="1"/>
  <c r="F54" i="1"/>
  <c r="D54" i="1"/>
  <c r="L54" i="1"/>
  <c r="E48" i="1"/>
  <c r="C35" i="1"/>
  <c r="C52" i="1" s="1"/>
  <c r="C56" i="1" s="1"/>
  <c r="C57" i="1" l="1"/>
  <c r="C59" i="1"/>
  <c r="C58" i="1"/>
  <c r="C83" i="1"/>
  <c r="F48" i="1"/>
  <c r="E49" i="1"/>
  <c r="D52" i="1"/>
  <c r="D59" i="1" s="1"/>
  <c r="C84" i="1" l="1"/>
  <c r="E81" i="1"/>
  <c r="D56" i="1"/>
  <c r="D83" i="1" s="1"/>
  <c r="D57" i="1"/>
  <c r="G48" i="1"/>
  <c r="F49" i="1"/>
  <c r="E52" i="1"/>
  <c r="E53" i="1"/>
  <c r="E59" i="1" l="1"/>
  <c r="F81" i="1"/>
  <c r="D84" i="1"/>
  <c r="E56" i="1"/>
  <c r="E83" i="1" s="1"/>
  <c r="H48" i="1"/>
  <c r="F52" i="1"/>
  <c r="E57" i="1"/>
  <c r="F53" i="1"/>
  <c r="F59" i="1" s="1"/>
  <c r="G47" i="1"/>
  <c r="F56" i="1" l="1"/>
  <c r="F83" i="1" s="1"/>
  <c r="I48" i="1"/>
  <c r="E84" i="1"/>
  <c r="G52" i="1"/>
  <c r="H52" i="1" s="1"/>
  <c r="I52" i="1" s="1"/>
  <c r="J52" i="1" s="1"/>
  <c r="K52" i="1" s="1"/>
  <c r="L52" i="1" s="1"/>
  <c r="M52" i="1" s="1"/>
  <c r="N52" i="1" s="1"/>
  <c r="O52" i="1" s="1"/>
  <c r="P52" i="1" s="1"/>
  <c r="Q52" i="1" s="1"/>
  <c r="R52" i="1" s="1"/>
  <c r="S52" i="1" s="1"/>
  <c r="T52" i="1" s="1"/>
  <c r="U52" i="1" s="1"/>
  <c r="V52" i="1" s="1"/>
  <c r="W52" i="1" s="1"/>
  <c r="X52" i="1" s="1"/>
  <c r="Y52" i="1" s="1"/>
  <c r="Z52" i="1" s="1"/>
  <c r="AA52" i="1" s="1"/>
  <c r="AB52" i="1" s="1"/>
  <c r="AC52" i="1" s="1"/>
  <c r="AD52" i="1" s="1"/>
  <c r="AE52" i="1" s="1"/>
  <c r="AF52" i="1" s="1"/>
  <c r="F57" i="1"/>
  <c r="G49" i="1"/>
  <c r="G81" i="1" s="1"/>
  <c r="G53" i="1"/>
  <c r="H47" i="1"/>
  <c r="G59" i="1" l="1"/>
  <c r="F84" i="1"/>
  <c r="G57" i="1"/>
  <c r="H49" i="1"/>
  <c r="H81" i="1" s="1"/>
  <c r="G56" i="1"/>
  <c r="G83" i="1" s="1"/>
  <c r="J48" i="1"/>
  <c r="H53" i="1"/>
  <c r="I47" i="1"/>
  <c r="H59" i="1" l="1"/>
  <c r="H56" i="1"/>
  <c r="H83" i="1" s="1"/>
  <c r="K48" i="1"/>
  <c r="I49" i="1"/>
  <c r="I81" i="1" s="1"/>
  <c r="H57" i="1"/>
  <c r="G84" i="1"/>
  <c r="I53" i="1"/>
  <c r="J47" i="1"/>
  <c r="H84" i="1" l="1"/>
  <c r="I59" i="1"/>
  <c r="J49" i="1"/>
  <c r="J81" i="1" s="1"/>
  <c r="I56" i="1"/>
  <c r="I83" i="1" s="1"/>
  <c r="I57" i="1"/>
  <c r="L48" i="1"/>
  <c r="J53" i="1"/>
  <c r="K47" i="1"/>
  <c r="J59" i="1" l="1"/>
  <c r="J56" i="1"/>
  <c r="J83" i="1" s="1"/>
  <c r="M48" i="1"/>
  <c r="L47" i="1"/>
  <c r="J57" i="1"/>
  <c r="J84" i="1" s="1"/>
  <c r="K49" i="1"/>
  <c r="K81" i="1" s="1"/>
  <c r="I84" i="1"/>
  <c r="K53" i="1"/>
  <c r="K59" i="1" l="1"/>
  <c r="L49" i="1"/>
  <c r="L81" i="1" s="1"/>
  <c r="K56" i="1"/>
  <c r="K83" i="1" s="1"/>
  <c r="M47" i="1"/>
  <c r="K57" i="1"/>
  <c r="L53" i="1"/>
  <c r="N48" i="1"/>
  <c r="L59" i="1" l="1"/>
  <c r="M49" i="1"/>
  <c r="M81" i="1" s="1"/>
  <c r="L56" i="1"/>
  <c r="L83" i="1" s="1"/>
  <c r="N47" i="1"/>
  <c r="M53" i="1"/>
  <c r="L57" i="1"/>
  <c r="L84" i="1" s="1"/>
  <c r="O48" i="1"/>
  <c r="K84" i="1"/>
  <c r="M59" i="1" l="1"/>
  <c r="N49" i="1"/>
  <c r="N81" i="1" s="1"/>
  <c r="M56" i="1"/>
  <c r="M83" i="1" s="1"/>
  <c r="M57" i="1"/>
  <c r="M84" i="1" s="1"/>
  <c r="O47" i="1"/>
  <c r="N53" i="1"/>
  <c r="P48" i="1"/>
  <c r="N59" i="1" l="1"/>
  <c r="P47" i="1"/>
  <c r="P53" i="1" s="1"/>
  <c r="N56" i="1"/>
  <c r="N83" i="1" s="1"/>
  <c r="N57" i="1"/>
  <c r="N84" i="1" s="1"/>
  <c r="O53" i="1"/>
  <c r="O49" i="1"/>
  <c r="O81" i="1" s="1"/>
  <c r="Q48" i="1"/>
  <c r="P49" i="1" l="1"/>
  <c r="P81" i="1" s="1"/>
  <c r="Q47" i="1"/>
  <c r="Q53" i="1" s="1"/>
  <c r="O59" i="1"/>
  <c r="P56" i="1"/>
  <c r="P83" i="1" s="1"/>
  <c r="O56" i="1"/>
  <c r="O83" i="1" s="1"/>
  <c r="O57" i="1"/>
  <c r="O84" i="1" s="1"/>
  <c r="R48" i="1"/>
  <c r="P59" i="1" l="1"/>
  <c r="P57" i="1"/>
  <c r="P84" i="1" s="1"/>
  <c r="Q49" i="1"/>
  <c r="Q81" i="1" s="1"/>
  <c r="R47" i="1"/>
  <c r="R49" i="1" s="1"/>
  <c r="R81" i="1" s="1"/>
  <c r="Q56" i="1"/>
  <c r="Q83" i="1" s="1"/>
  <c r="S48" i="1"/>
  <c r="S47" i="1" l="1"/>
  <c r="S53" i="1" s="1"/>
  <c r="R53" i="1"/>
  <c r="R56" i="1" s="1"/>
  <c r="R83" i="1" s="1"/>
  <c r="Q57" i="1"/>
  <c r="Q84" i="1" s="1"/>
  <c r="Q59" i="1"/>
  <c r="T48" i="1"/>
  <c r="R57" i="1" l="1"/>
  <c r="R84" i="1" s="1"/>
  <c r="R59" i="1"/>
  <c r="S49" i="1"/>
  <c r="S81" i="1" s="1"/>
  <c r="T47" i="1"/>
  <c r="T49" i="1" s="1"/>
  <c r="T81" i="1" s="1"/>
  <c r="S56" i="1"/>
  <c r="S83" i="1" s="1"/>
  <c r="U48" i="1"/>
  <c r="U47" i="1" l="1"/>
  <c r="V47" i="1" s="1"/>
  <c r="T53" i="1"/>
  <c r="T59" i="1" s="1"/>
  <c r="S57" i="1"/>
  <c r="S84" i="1" s="1"/>
  <c r="S59" i="1"/>
  <c r="V48" i="1"/>
  <c r="U53" i="1" l="1"/>
  <c r="U56" i="1" s="1"/>
  <c r="U83" i="1" s="1"/>
  <c r="T57" i="1"/>
  <c r="T84" i="1" s="1"/>
  <c r="U49" i="1"/>
  <c r="U81" i="1" s="1"/>
  <c r="T56" i="1"/>
  <c r="T83" i="1" s="1"/>
  <c r="W48" i="1"/>
  <c r="V49" i="1"/>
  <c r="V81" i="1" s="1"/>
  <c r="V53" i="1"/>
  <c r="W47" i="1"/>
  <c r="U57" i="1" l="1"/>
  <c r="U84" i="1" s="1"/>
  <c r="U59" i="1"/>
  <c r="V59" i="1"/>
  <c r="V56" i="1"/>
  <c r="V83" i="1" s="1"/>
  <c r="X48" i="1"/>
  <c r="W49" i="1"/>
  <c r="W81" i="1" s="1"/>
  <c r="V57" i="1"/>
  <c r="V84" i="1" s="1"/>
  <c r="W53" i="1"/>
  <c r="X47" i="1"/>
  <c r="W59" i="1" l="1"/>
  <c r="W56" i="1"/>
  <c r="W83" i="1" s="1"/>
  <c r="Y48" i="1"/>
  <c r="X49" i="1"/>
  <c r="X81" i="1" s="1"/>
  <c r="W57" i="1"/>
  <c r="W84" i="1" s="1"/>
  <c r="Y47" i="1"/>
  <c r="X53" i="1"/>
  <c r="X59" i="1" l="1"/>
  <c r="X56" i="1"/>
  <c r="X83" i="1" s="1"/>
  <c r="Z48" i="1"/>
  <c r="AA48" i="1" s="1"/>
  <c r="Y49" i="1"/>
  <c r="Y81" i="1" s="1"/>
  <c r="X57" i="1"/>
  <c r="X84" i="1" s="1"/>
  <c r="Y53" i="1"/>
  <c r="Z47" i="1"/>
  <c r="AA47" i="1" l="1"/>
  <c r="Z53" i="1"/>
  <c r="Z56" i="1" s="1"/>
  <c r="Z83" i="1" s="1"/>
  <c r="Y59" i="1"/>
  <c r="Y56" i="1"/>
  <c r="Y83" i="1" s="1"/>
  <c r="AB48" i="1"/>
  <c r="Z49" i="1"/>
  <c r="Z81" i="1" s="1"/>
  <c r="Y57" i="1"/>
  <c r="Y84" i="1" s="1"/>
  <c r="AA53" i="1" l="1"/>
  <c r="AA56" i="1" s="1"/>
  <c r="AA83" i="1" s="1"/>
  <c r="AB47" i="1"/>
  <c r="AC47" i="1" s="1"/>
  <c r="AA49" i="1"/>
  <c r="AA81" i="1" s="1"/>
  <c r="Z59" i="1"/>
  <c r="AC48" i="1"/>
  <c r="Z57" i="1"/>
  <c r="Z84" i="1" s="1"/>
  <c r="AB49" i="1" l="1"/>
  <c r="AA59" i="1"/>
  <c r="C40" i="1" s="1"/>
  <c r="AC53" i="1"/>
  <c r="AB53" i="1"/>
  <c r="AD48" i="1"/>
  <c r="AC49" i="1"/>
  <c r="AD47" i="1"/>
  <c r="AA57" i="1"/>
  <c r="C39" i="1" s="1"/>
  <c r="AB59" i="1" l="1"/>
  <c r="AC59" i="1"/>
  <c r="AD53" i="1"/>
  <c r="AD56" i="1" s="1"/>
  <c r="AE47" i="1"/>
  <c r="AC57" i="1"/>
  <c r="AC56" i="1"/>
  <c r="AE48" i="1"/>
  <c r="AD49" i="1"/>
  <c r="AA84" i="1"/>
  <c r="C41" i="1"/>
  <c r="AD57" i="1" l="1"/>
  <c r="AD59" i="1"/>
  <c r="AE53" i="1"/>
  <c r="AE56" i="1" s="1"/>
  <c r="AF48" i="1"/>
  <c r="AE49" i="1"/>
  <c r="AF47" i="1"/>
  <c r="AE59" i="1" l="1"/>
  <c r="AE57" i="1"/>
  <c r="AF53" i="1"/>
  <c r="AF56" i="1" s="1"/>
  <c r="AF49" i="1"/>
  <c r="AB56" i="1"/>
  <c r="AB57" i="1"/>
  <c r="AF57" i="1" l="1"/>
  <c r="AF59" i="1"/>
</calcChain>
</file>

<file path=xl/sharedStrings.xml><?xml version="1.0" encoding="utf-8"?>
<sst xmlns="http://schemas.openxmlformats.org/spreadsheetml/2006/main" count="85" uniqueCount="71">
  <si>
    <t>Inverterskift</t>
  </si>
  <si>
    <t>Tab</t>
  </si>
  <si>
    <t>Cashflow</t>
  </si>
  <si>
    <t>Areal</t>
  </si>
  <si>
    <t>kr/år</t>
  </si>
  <si>
    <t>kr/kwt</t>
  </si>
  <si>
    <t>total drift</t>
  </si>
  <si>
    <t>Andel egenproduktion</t>
  </si>
  <si>
    <t>Eget forbrug</t>
  </si>
  <si>
    <t>Salg til net</t>
  </si>
  <si>
    <t>Evishine, overvågning</t>
  </si>
  <si>
    <t>service, intern</t>
  </si>
  <si>
    <t>Årlig indtjening</t>
  </si>
  <si>
    <t>år</t>
  </si>
  <si>
    <t>Levetid (lav risiko ved skoler)</t>
  </si>
  <si>
    <t>Tab i ydeevne / år</t>
  </si>
  <si>
    <t>Nutidsværdi (25 år)</t>
  </si>
  <si>
    <t>Forudsætninger</t>
  </si>
  <si>
    <t>Salgpris til net</t>
  </si>
  <si>
    <t>Energiinflation</t>
  </si>
  <si>
    <t>Inflation</t>
  </si>
  <si>
    <t>Indtægter</t>
  </si>
  <si>
    <t>Udgifter</t>
  </si>
  <si>
    <t>Driftudgifter</t>
  </si>
  <si>
    <t>m2</t>
  </si>
  <si>
    <t>Produktion</t>
  </si>
  <si>
    <t>Anskaffelse + montering</t>
  </si>
  <si>
    <t>Projektledelse + rådgivning</t>
  </si>
  <si>
    <t>kr.</t>
  </si>
  <si>
    <t>Resultat</t>
  </si>
  <si>
    <t>%</t>
  </si>
  <si>
    <t>total indtægter</t>
  </si>
  <si>
    <t>total udgifter</t>
  </si>
  <si>
    <t>til graf</t>
  </si>
  <si>
    <t>Solcelleanlæg</t>
  </si>
  <si>
    <t>Effekt</t>
  </si>
  <si>
    <t>Rådighedstarif (betales over 50 kW)</t>
  </si>
  <si>
    <t>Rente (25 års løbetid)</t>
  </si>
  <si>
    <t>Produktion/kWp</t>
  </si>
  <si>
    <t>kWp</t>
  </si>
  <si>
    <t>kWh/år</t>
  </si>
  <si>
    <t>kWh/kWp</t>
  </si>
  <si>
    <t>Nutidsværdi (30 år)</t>
  </si>
  <si>
    <t>Låneomkostninger (25 år)</t>
  </si>
  <si>
    <t>Låneomkostninger (30 år)</t>
  </si>
  <si>
    <t>Netto cashflow 30 år</t>
  </si>
  <si>
    <t>Netto Cashflow 25 år</t>
  </si>
  <si>
    <t>Elpris (købspris, sparet) Husk Kilde</t>
  </si>
  <si>
    <t>omk. Selskab, revisor, regnskabsprogram, forsikringer, interne timer, ect.</t>
  </si>
  <si>
    <t>Inverterskift efter 15 år</t>
  </si>
  <si>
    <t>Total investering anlæg</t>
  </si>
  <si>
    <t>Indfødningsfarif (betales), kun netdel</t>
  </si>
  <si>
    <t>Tilslutningstarif (betales én gang)</t>
  </si>
  <si>
    <t>Driftudgifter i alt for anlæg</t>
  </si>
  <si>
    <t>Rentabilitetsberegning af solcelleanlæg på kommunale tage</t>
  </si>
  <si>
    <t>OBS: indtast i gule celler</t>
  </si>
  <si>
    <t>Projektledelse og rådgivning vil også falde relativt ved opsætning af flere anlæg. Ca. 10% besparelse ved fem anlæg.</t>
  </si>
  <si>
    <t>Priser indhentet af Aarhus Kommune. Ved opsætning af flere anlæg, kan formentlig opnås besparelse.</t>
  </si>
  <si>
    <t>Pris indhentet af Aarhus Kommune</t>
  </si>
  <si>
    <t>Skal være så høj så mulig for at maksimere rentabiliteten. Typisk mellem 70-85%.</t>
  </si>
  <si>
    <t>Elprisen er meget ustabil pt. Aarhus Kommune har tre scenarier (lav: 30 øre/kwt - medium: 45 øre/kwt - høj: 60 øre/kwt)</t>
  </si>
  <si>
    <t>Tjek priser. 25 øre/kwt er konservativt sat.</t>
  </si>
  <si>
    <t>Diverse tariffer (tranmission, distrubition, ect.)</t>
  </si>
  <si>
    <t>Disse tariffer kan variere mellem landsdele og størrelser på bygninger. Tjek selv elregninger for konkrete bygninger.</t>
  </si>
  <si>
    <t>kilde: konstant. Tjek selv priser i jeres område / hos jeres elselskab</t>
  </si>
  <si>
    <t xml:space="preserve">relativt lavt, men Aarhus Kommune har erfaring. </t>
  </si>
  <si>
    <t>Betydelige stordriftsfordele. De 10.000 kr. / anlæg er mest realistisk ved 10 solcelleanlæg i selskabet.</t>
  </si>
  <si>
    <t>Nogle går længere op i levetid, f.eks. 30 år</t>
  </si>
  <si>
    <t>noter</t>
  </si>
  <si>
    <t>Egenproducenter på lavspænding med produktionskapacitet over 50 kW kan undgå at betale tilslutningsbidrag, hvis de ikke indføder mere elektricitet på nettet end de har forpligtet sig til at få leveret via deres forbrugertilslutning(kontrakt, se introduktionsvideo. Ændringerne forventes først endeligt vedtaget primo juli og trænder først i kraft 1. januar 2023.</t>
  </si>
  <si>
    <t>Det er de lokale netselskaber der hver især kommer til at prissætte indfødningstariffen.  Ændringerne forventes først endeligt vedtaget primo juli og trænder først i kraft 1. januar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</si>
</sst>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kr.&quot;\ #,##0;[Red]&quot;kr.&quot;\ \-#,##0"/>
    <numFmt numFmtId="165" formatCode="_ * #,##0.00_ ;_ * \-#,##0.00_ ;_ * &quot;-&quot;??_ ;_ @_ "/>
    <numFmt numFmtId="166" formatCode="_ * #,##0_ ;_ * \-#,##0_ ;_ * &quot;-&quot;??_ ;_ @_ "/>
    <numFmt numFmtId="167" formatCode="0.0%"/>
    <numFmt numFmtId="168" formatCode="#,##0_ ;[Red]\-#,##0\ "/>
    <numFmt numFmtId="169" formatCode="_ * #,##0.000_ ;_ * \-#,##0.000_ ;_ * &quot;-&quot;??_ ;_ @_ "/>
    <numFmt numFmtId="170" formatCode="_ * #,##0.0000_ ;_ * \-#,##0.0000_ ;_ * &quot;-&quot;??_ ;_ @_ "/>
  </numFmts>
  <fonts count="8" x14ac:knownFonts="1">
    <font>
      <sz val="10"/>
      <color theme="1"/>
      <name val="Verdana"/>
      <family val="2"/>
    </font>
    <font>
      <sz val="10"/>
      <color theme="1"/>
      <name val="Verdana"/>
      <family val="2"/>
    </font>
    <font>
      <b/>
      <sz val="10"/>
      <color theme="1"/>
      <name val="Verdana"/>
      <family val="2"/>
    </font>
    <font>
      <b/>
      <sz val="13"/>
      <color theme="1"/>
      <name val="Verdana"/>
      <family val="2"/>
    </font>
    <font>
      <b/>
      <sz val="12"/>
      <color theme="1"/>
      <name val="Verdana"/>
      <family val="2"/>
    </font>
    <font>
      <i/>
      <sz val="10"/>
      <color theme="1"/>
      <name val="Verdana"/>
      <family val="2"/>
    </font>
    <font>
      <sz val="10"/>
      <name val="Verdana"/>
      <family val="2"/>
    </font>
    <font>
      <b/>
      <sz val="14"/>
      <color theme="1"/>
      <name val="Verdan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0" fillId="2" borderId="1" xfId="0" applyFill="1" applyBorder="1"/>
    <xf numFmtId="0" fontId="3" fillId="2" borderId="0" xfId="0" applyFont="1" applyFill="1"/>
    <xf numFmtId="0" fontId="0" fillId="2" borderId="0" xfId="0" applyFill="1"/>
    <xf numFmtId="166" fontId="0" fillId="2" borderId="1" xfId="1" applyNumberFormat="1" applyFont="1" applyFill="1" applyBorder="1"/>
    <xf numFmtId="0" fontId="2" fillId="2" borderId="1" xfId="0" applyFont="1" applyFill="1" applyBorder="1"/>
    <xf numFmtId="166" fontId="2" fillId="2" borderId="1" xfId="1" applyNumberFormat="1" applyFont="1" applyFill="1" applyBorder="1"/>
    <xf numFmtId="0" fontId="2" fillId="2" borderId="0" xfId="0" applyFont="1" applyFill="1" applyBorder="1"/>
    <xf numFmtId="166" fontId="2" fillId="2" borderId="0" xfId="1" applyNumberFormat="1" applyFont="1" applyFill="1" applyBorder="1"/>
    <xf numFmtId="167" fontId="2" fillId="2" borderId="0" xfId="0" applyNumberFormat="1" applyFont="1" applyFill="1" applyBorder="1" applyAlignment="1">
      <alignment horizontal="left"/>
    </xf>
    <xf numFmtId="0" fontId="0" fillId="2" borderId="0" xfId="0" applyFill="1" applyBorder="1"/>
    <xf numFmtId="167" fontId="0" fillId="2" borderId="0" xfId="0" applyNumberFormat="1" applyFill="1" applyBorder="1" applyAlignment="1">
      <alignment horizontal="left"/>
    </xf>
    <xf numFmtId="9" fontId="0" fillId="2" borderId="1" xfId="0" applyNumberFormat="1" applyFill="1" applyBorder="1"/>
    <xf numFmtId="166" fontId="0" fillId="2" borderId="0" xfId="1" applyNumberFormat="1" applyFont="1" applyFill="1" applyBorder="1"/>
    <xf numFmtId="168" fontId="0" fillId="2" borderId="1" xfId="0" applyNumberFormat="1" applyFill="1" applyBorder="1"/>
    <xf numFmtId="164" fontId="0" fillId="2" borderId="0" xfId="0" applyNumberFormat="1" applyFill="1"/>
    <xf numFmtId="166" fontId="0" fillId="2" borderId="0" xfId="0" applyNumberFormat="1" applyFill="1"/>
    <xf numFmtId="166" fontId="0" fillId="2" borderId="0" xfId="1" applyNumberFormat="1" applyFont="1" applyFill="1"/>
    <xf numFmtId="0" fontId="4" fillId="2" borderId="0" xfId="0" applyFont="1" applyFill="1"/>
    <xf numFmtId="0" fontId="5" fillId="2" borderId="1" xfId="0" applyFont="1" applyFill="1" applyBorder="1"/>
    <xf numFmtId="165" fontId="0" fillId="3" borderId="1" xfId="1" applyNumberFormat="1" applyFont="1" applyFill="1" applyBorder="1"/>
    <xf numFmtId="169" fontId="0" fillId="3" borderId="1" xfId="1" applyNumberFormat="1" applyFont="1" applyFill="1" applyBorder="1"/>
    <xf numFmtId="3" fontId="0" fillId="2" borderId="0" xfId="0" applyNumberFormat="1" applyFill="1"/>
    <xf numFmtId="170" fontId="5" fillId="3" borderId="1" xfId="1" applyNumberFormat="1" applyFont="1" applyFill="1" applyBorder="1"/>
    <xf numFmtId="168" fontId="5" fillId="2" borderId="1" xfId="0" applyNumberFormat="1" applyFont="1" applyFill="1" applyBorder="1"/>
    <xf numFmtId="0" fontId="0" fillId="3" borderId="1" xfId="0" applyFill="1" applyBorder="1"/>
    <xf numFmtId="0" fontId="6" fillId="2" borderId="0" xfId="0" applyFont="1" applyFill="1"/>
    <xf numFmtId="0" fontId="7" fillId="2" borderId="0" xfId="0" applyFont="1" applyFill="1"/>
    <xf numFmtId="0" fontId="0" fillId="2" borderId="0" xfId="0" applyFont="1" applyFill="1"/>
    <xf numFmtId="3" fontId="0" fillId="3" borderId="1" xfId="0" applyNumberFormat="1" applyFill="1" applyBorder="1"/>
    <xf numFmtId="166" fontId="0" fillId="3" borderId="1" xfId="1" applyNumberFormat="1" applyFont="1" applyFill="1" applyBorder="1"/>
    <xf numFmtId="9" fontId="0" fillId="3" borderId="1" xfId="2" applyFont="1" applyFill="1" applyBorder="1"/>
    <xf numFmtId="0" fontId="0" fillId="2" borderId="1" xfId="0" applyFill="1" applyBorder="1" applyAlignment="1">
      <alignment wrapText="1"/>
    </xf>
    <xf numFmtId="0" fontId="0" fillId="2" borderId="1" xfId="0" applyFont="1" applyFill="1" applyBorder="1"/>
  </cellXfs>
  <cellStyles count="3">
    <cellStyle name="Komma" xfId="1" builtinId="3"/>
    <cellStyle name="Normal" xfId="0" builtinId="0"/>
    <cellStyle name="Pro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000" b="0" i="0" u="none" strike="noStrike" kern="1200" spc="0" baseline="0">
                <a:solidFill>
                  <a:schemeClr val="tx1">
                    <a:lumMod val="65000"/>
                    <a:lumOff val="35000"/>
                  </a:schemeClr>
                </a:solidFill>
                <a:latin typeface="+mn-lt"/>
                <a:ea typeface="+mn-ea"/>
                <a:cs typeface="+mn-cs"/>
              </a:defRPr>
            </a:pPr>
            <a:r>
              <a:rPr lang="da-DK" sz="3000"/>
              <a:t>Cashflow</a:t>
            </a:r>
          </a:p>
        </c:rich>
      </c:tx>
      <c:overlay val="0"/>
      <c:spPr>
        <a:noFill/>
        <a:ln>
          <a:noFill/>
        </a:ln>
        <a:effectLst/>
      </c:spPr>
      <c:txPr>
        <a:bodyPr rot="0" spcFirstLastPara="1" vertOverflow="ellipsis" vert="horz" wrap="square" anchor="ctr" anchorCtr="1"/>
        <a:lstStyle/>
        <a:p>
          <a:pPr>
            <a:defRPr sz="30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lineChart>
        <c:grouping val="standard"/>
        <c:varyColors val="0"/>
        <c:ser>
          <c:idx val="0"/>
          <c:order val="0"/>
          <c:tx>
            <c:strRef>
              <c:f>Beregning!$B$81</c:f>
              <c:strCache>
                <c:ptCount val="1"/>
                <c:pt idx="0">
                  <c:v>total indtægter</c:v>
                </c:pt>
              </c:strCache>
            </c:strRef>
          </c:tx>
          <c:spPr>
            <a:ln w="28575" cap="rnd">
              <a:solidFill>
                <a:schemeClr val="accent1"/>
              </a:solidFill>
              <a:round/>
            </a:ln>
            <a:effectLst/>
          </c:spPr>
          <c:marker>
            <c:symbol val="none"/>
          </c:marker>
          <c:val>
            <c:numRef>
              <c:f>Beregning!$C$81:$AA$81</c:f>
              <c:numCache>
                <c:formatCode>_ * #,##0_ ;_ * \-#,##0_ ;_ * "-"??_ ;_ @_ </c:formatCode>
                <c:ptCount val="25"/>
                <c:pt idx="0">
                  <c:v>54782.69999999999</c:v>
                </c:pt>
                <c:pt idx="1">
                  <c:v>56426.18099999999</c:v>
                </c:pt>
                <c:pt idx="2">
                  <c:v>58118.966429999993</c:v>
                </c:pt>
                <c:pt idx="3">
                  <c:v>59862.535422899993</c:v>
                </c:pt>
                <c:pt idx="4">
                  <c:v>61658.411485586999</c:v>
                </c:pt>
                <c:pt idx="5">
                  <c:v>63508.163830154612</c:v>
                </c:pt>
                <c:pt idx="6">
                  <c:v>65413.408745059249</c:v>
                </c:pt>
                <c:pt idx="7">
                  <c:v>67375.81100741103</c:v>
                </c:pt>
                <c:pt idx="8">
                  <c:v>69397.085337633354</c:v>
                </c:pt>
                <c:pt idx="9">
                  <c:v>71478.997897762354</c:v>
                </c:pt>
                <c:pt idx="10">
                  <c:v>73623.367834695237</c:v>
                </c:pt>
                <c:pt idx="11">
                  <c:v>75832.068869736089</c:v>
                </c:pt>
                <c:pt idx="12">
                  <c:v>78107.030935828181</c:v>
                </c:pt>
                <c:pt idx="13">
                  <c:v>80450.241863903037</c:v>
                </c:pt>
                <c:pt idx="14">
                  <c:v>82863.749119820131</c:v>
                </c:pt>
                <c:pt idx="15">
                  <c:v>85349.661593414741</c:v>
                </c:pt>
                <c:pt idx="16">
                  <c:v>87910.151441217182</c:v>
                </c:pt>
                <c:pt idx="17">
                  <c:v>90547.4559844537</c:v>
                </c:pt>
                <c:pt idx="18">
                  <c:v>93263.879663987304</c:v>
                </c:pt>
                <c:pt idx="19">
                  <c:v>96061.796053906917</c:v>
                </c:pt>
                <c:pt idx="20">
                  <c:v>98943.649935524125</c:v>
                </c:pt>
                <c:pt idx="21">
                  <c:v>101911.95943358986</c:v>
                </c:pt>
                <c:pt idx="22">
                  <c:v>104969.31821659756</c:v>
                </c:pt>
                <c:pt idx="23">
                  <c:v>108118.39776309549</c:v>
                </c:pt>
                <c:pt idx="24">
                  <c:v>111361.94969598834</c:v>
                </c:pt>
              </c:numCache>
            </c:numRef>
          </c:val>
          <c:smooth val="0"/>
          <c:extLst>
            <c:ext xmlns:c16="http://schemas.microsoft.com/office/drawing/2014/chart" uri="{C3380CC4-5D6E-409C-BE32-E72D297353CC}">
              <c16:uniqueId val="{00000000-5D57-4AA5-BB57-F32486BBECF4}"/>
            </c:ext>
          </c:extLst>
        </c:ser>
        <c:ser>
          <c:idx val="1"/>
          <c:order val="1"/>
          <c:tx>
            <c:strRef>
              <c:f>Beregning!$B$82</c:f>
              <c:strCache>
                <c:ptCount val="1"/>
              </c:strCache>
            </c:strRef>
          </c:tx>
          <c:spPr>
            <a:ln w="28575" cap="rnd">
              <a:solidFill>
                <a:schemeClr val="accent2"/>
              </a:solidFill>
              <a:round/>
            </a:ln>
            <a:effectLst/>
          </c:spPr>
          <c:marker>
            <c:symbol val="none"/>
          </c:marker>
          <c:val>
            <c:numRef>
              <c:f>Beregning!$C$82:$AA$82</c:f>
            </c:numRef>
          </c:val>
          <c:smooth val="0"/>
          <c:extLst>
            <c:ext xmlns:c16="http://schemas.microsoft.com/office/drawing/2014/chart" uri="{C3380CC4-5D6E-409C-BE32-E72D297353CC}">
              <c16:uniqueId val="{00000001-5D57-4AA5-BB57-F32486BBECF4}"/>
            </c:ext>
          </c:extLst>
        </c:ser>
        <c:ser>
          <c:idx val="2"/>
          <c:order val="2"/>
          <c:tx>
            <c:strRef>
              <c:f>Beregning!$B$83</c:f>
              <c:strCache>
                <c:ptCount val="1"/>
                <c:pt idx="0">
                  <c:v>total udgifter</c:v>
                </c:pt>
              </c:strCache>
            </c:strRef>
          </c:tx>
          <c:spPr>
            <a:ln w="28575" cap="rnd">
              <a:solidFill>
                <a:schemeClr val="accent3"/>
              </a:solidFill>
              <a:round/>
            </a:ln>
            <a:effectLst/>
          </c:spPr>
          <c:marker>
            <c:symbol val="none"/>
          </c:marker>
          <c:val>
            <c:numRef>
              <c:f>Beregning!$C$83:$AA$83</c:f>
              <c:numCache>
                <c:formatCode>_ * #,##0_ ;_ * \-#,##0_ ;_ * "-"??_ ;_ @_ </c:formatCode>
                <c:ptCount val="25"/>
                <c:pt idx="0">
                  <c:v>58729.436186497871</c:v>
                </c:pt>
                <c:pt idx="1">
                  <c:v>59475.986579297874</c:v>
                </c:pt>
                <c:pt idx="2">
                  <c:v>60257.329995665874</c:v>
                </c:pt>
                <c:pt idx="3">
                  <c:v>61074.907121662429</c:v>
                </c:pt>
                <c:pt idx="4">
                  <c:v>61930.214270790537</c:v>
                </c:pt>
                <c:pt idx="5">
                  <c:v>62824.805435024675</c:v>
                </c:pt>
                <c:pt idx="6">
                  <c:v>63760.294409037</c:v>
                </c:pt>
                <c:pt idx="7">
                  <c:v>64738.356990170389</c:v>
                </c:pt>
                <c:pt idx="8">
                  <c:v>65760.733256795589</c:v>
                </c:pt>
                <c:pt idx="9">
                  <c:v>66829.229927779539</c:v>
                </c:pt>
                <c:pt idx="10">
                  <c:v>67945.722805885525</c:v>
                </c:pt>
                <c:pt idx="11">
                  <c:v>69112.159308021481</c:v>
                </c:pt>
                <c:pt idx="12">
                  <c:v>78358.619025617649</c:v>
                </c:pt>
                <c:pt idx="13">
                  <c:v>79631.084676665327</c:v>
                </c:pt>
                <c:pt idx="14">
                  <c:v>80959.792556610104</c:v>
                </c:pt>
                <c:pt idx="15">
                  <c:v>82347.00368614473</c:v>
                </c:pt>
                <c:pt idx="16">
                  <c:v>83795.064763318398</c:v>
                </c:pt>
                <c:pt idx="17">
                  <c:v>85306.411281941953</c:v>
                </c:pt>
                <c:pt idx="18">
                  <c:v>86883.570760241375</c:v>
                </c:pt>
                <c:pt idx="19">
                  <c:v>88529.166083573102</c:v>
                </c:pt>
                <c:pt idx="20">
                  <c:v>90245.918965144054</c:v>
                </c:pt>
                <c:pt idx="21">
                  <c:v>92036.653528813797</c:v>
                </c:pt>
                <c:pt idx="22">
                  <c:v>93904.300018194161</c:v>
                </c:pt>
                <c:pt idx="23">
                  <c:v>95851.898636405371</c:v>
                </c:pt>
                <c:pt idx="24">
                  <c:v>97882.603520995428</c:v>
                </c:pt>
              </c:numCache>
            </c:numRef>
          </c:val>
          <c:smooth val="0"/>
          <c:extLst>
            <c:ext xmlns:c16="http://schemas.microsoft.com/office/drawing/2014/chart" uri="{C3380CC4-5D6E-409C-BE32-E72D297353CC}">
              <c16:uniqueId val="{00000002-5D57-4AA5-BB57-F32486BBECF4}"/>
            </c:ext>
          </c:extLst>
        </c:ser>
        <c:dLbls>
          <c:showLegendKey val="0"/>
          <c:showVal val="0"/>
          <c:showCatName val="0"/>
          <c:showSerName val="0"/>
          <c:showPercent val="0"/>
          <c:showBubbleSize val="0"/>
        </c:dLbls>
        <c:smooth val="0"/>
        <c:axId val="968287456"/>
        <c:axId val="974018520"/>
      </c:lineChart>
      <c:catAx>
        <c:axId val="968287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ÅR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974018520"/>
        <c:crosses val="autoZero"/>
        <c:auto val="1"/>
        <c:lblAlgn val="ctr"/>
        <c:lblOffset val="100"/>
        <c:noMultiLvlLbl val="0"/>
      </c:catAx>
      <c:valAx>
        <c:axId val="974018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KR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968287456"/>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a-DK"/>
          </a:p>
        </c:txPr>
      </c:legendEntry>
      <c:legendEntry>
        <c:idx val="1"/>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a-DK"/>
          </a:p>
        </c:txPr>
      </c:legendEntry>
      <c:layout>
        <c:manualLayout>
          <c:xMode val="edge"/>
          <c:yMode val="edge"/>
          <c:x val="0.83154787909575834"/>
          <c:y val="0.30121823524256303"/>
          <c:w val="0.1452263144526289"/>
          <c:h val="0.135325685343813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590548</xdr:colOff>
      <xdr:row>4</xdr:row>
      <xdr:rowOff>57150</xdr:rowOff>
    </xdr:from>
    <xdr:to>
      <xdr:col>17</xdr:col>
      <xdr:colOff>647699</xdr:colOff>
      <xdr:row>35</xdr:row>
      <xdr:rowOff>161925</xdr:rowOff>
    </xdr:to>
    <xdr:graphicFrame macro="">
      <xdr:nvGraphicFramePr>
        <xdr:cNvPr id="3" name="Diagram 2">
          <a:extLst>
            <a:ext uri="{FF2B5EF4-FFF2-40B4-BE49-F238E27FC236}">
              <a16:creationId xmlns:a16="http://schemas.microsoft.com/office/drawing/2014/main" id="{F1F61B28-D2EC-4A8C-9720-5E113EB2FC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F84"/>
  <sheetViews>
    <sheetView tabSelected="1" zoomScale="120" zoomScaleNormal="120" workbookViewId="0">
      <selection activeCell="E25" sqref="E25"/>
    </sheetView>
  </sheetViews>
  <sheetFormatPr defaultColWidth="9.25" defaultRowHeight="12.75" x14ac:dyDescent="0.2"/>
  <cols>
    <col min="1" max="1" width="5" style="3" customWidth="1"/>
    <col min="2" max="2" width="35.5" style="3" customWidth="1"/>
    <col min="3" max="3" width="15.5" style="3" customWidth="1"/>
    <col min="4" max="4" width="10" style="3" customWidth="1"/>
    <col min="5" max="5" width="14" style="3" customWidth="1"/>
    <col min="6" max="6" width="17" style="3" bestFit="1" customWidth="1"/>
    <col min="7" max="7" width="12.5" style="3" bestFit="1" customWidth="1"/>
    <col min="8" max="8" width="12.625" style="3" bestFit="1" customWidth="1"/>
    <col min="9" max="9" width="11" style="3" bestFit="1" customWidth="1"/>
    <col min="10" max="10" width="12.125" style="3" bestFit="1" customWidth="1"/>
    <col min="11" max="11" width="14.875" style="3" bestFit="1" customWidth="1"/>
    <col min="12" max="13" width="11" style="3" bestFit="1" customWidth="1"/>
    <col min="14" max="14" width="11.75" style="3" bestFit="1" customWidth="1"/>
    <col min="15" max="27" width="11" style="3" bestFit="1" customWidth="1"/>
    <col min="28" max="28" width="10.5" style="3" customWidth="1"/>
    <col min="29" max="16384" width="9.25" style="3"/>
  </cols>
  <sheetData>
    <row r="3" spans="2:5" ht="18" x14ac:dyDescent="0.25">
      <c r="B3" s="27" t="s">
        <v>54</v>
      </c>
    </row>
    <row r="4" spans="2:5" x14ac:dyDescent="0.2">
      <c r="B4" s="28" t="s">
        <v>55</v>
      </c>
    </row>
    <row r="5" spans="2:5" ht="15.75" x14ac:dyDescent="0.2">
      <c r="B5" s="2"/>
    </row>
    <row r="6" spans="2:5" ht="15" x14ac:dyDescent="0.2">
      <c r="B6" s="18" t="s">
        <v>34</v>
      </c>
      <c r="E6" s="3" t="s">
        <v>68</v>
      </c>
    </row>
    <row r="7" spans="2:5" x14ac:dyDescent="0.2">
      <c r="B7" s="1" t="s">
        <v>3</v>
      </c>
      <c r="C7" s="25">
        <v>600</v>
      </c>
      <c r="D7" s="1" t="s">
        <v>24</v>
      </c>
    </row>
    <row r="8" spans="2:5" x14ac:dyDescent="0.2">
      <c r="B8" s="1" t="s">
        <v>35</v>
      </c>
      <c r="C8" s="25">
        <v>120</v>
      </c>
      <c r="D8" s="1" t="s">
        <v>39</v>
      </c>
    </row>
    <row r="9" spans="2:5" x14ac:dyDescent="0.2">
      <c r="B9" s="1" t="s">
        <v>38</v>
      </c>
      <c r="C9" s="25">
        <v>950</v>
      </c>
      <c r="D9" s="1" t="s">
        <v>41</v>
      </c>
    </row>
    <row r="10" spans="2:5" x14ac:dyDescent="0.2">
      <c r="B10" s="1" t="s">
        <v>25</v>
      </c>
      <c r="C10" s="29">
        <f>C8*C9</f>
        <v>114000</v>
      </c>
      <c r="D10" s="1" t="s">
        <v>40</v>
      </c>
    </row>
    <row r="11" spans="2:5" x14ac:dyDescent="0.2">
      <c r="B11" s="1" t="s">
        <v>26</v>
      </c>
      <c r="C11" s="29">
        <v>700000</v>
      </c>
      <c r="D11" s="1" t="s">
        <v>28</v>
      </c>
      <c r="E11" s="3" t="s">
        <v>57</v>
      </c>
    </row>
    <row r="12" spans="2:5" x14ac:dyDescent="0.2">
      <c r="B12" s="1" t="s">
        <v>27</v>
      </c>
      <c r="C12" s="29">
        <f>70000+35000</f>
        <v>105000</v>
      </c>
      <c r="D12" s="1" t="s">
        <v>28</v>
      </c>
      <c r="E12" s="3" t="s">
        <v>56</v>
      </c>
    </row>
    <row r="13" spans="2:5" x14ac:dyDescent="0.2">
      <c r="B13" s="5" t="s">
        <v>50</v>
      </c>
      <c r="C13" s="6">
        <f>+C11+C12</f>
        <v>805000</v>
      </c>
      <c r="D13" s="1" t="s">
        <v>28</v>
      </c>
    </row>
    <row r="14" spans="2:5" x14ac:dyDescent="0.2">
      <c r="B14" s="7"/>
      <c r="C14" s="8"/>
      <c r="D14" s="9"/>
    </row>
    <row r="15" spans="2:5" x14ac:dyDescent="0.2">
      <c r="B15" s="10"/>
      <c r="D15" s="11"/>
    </row>
    <row r="16" spans="2:5" ht="15" x14ac:dyDescent="0.2">
      <c r="B16" s="18" t="s">
        <v>17</v>
      </c>
    </row>
    <row r="17" spans="2:6" x14ac:dyDescent="0.2">
      <c r="B17" s="1" t="s">
        <v>49</v>
      </c>
      <c r="C17" s="30">
        <f>66000</f>
        <v>66000</v>
      </c>
      <c r="D17" s="1" t="s">
        <v>28</v>
      </c>
      <c r="E17" s="3" t="s">
        <v>58</v>
      </c>
    </row>
    <row r="18" spans="2:6" x14ac:dyDescent="0.2">
      <c r="B18" s="1" t="s">
        <v>7</v>
      </c>
      <c r="C18" s="31">
        <v>0.7</v>
      </c>
      <c r="D18" s="1"/>
      <c r="E18" s="3" t="s">
        <v>59</v>
      </c>
    </row>
    <row r="19" spans="2:6" x14ac:dyDescent="0.2">
      <c r="B19" s="1" t="s">
        <v>14</v>
      </c>
      <c r="C19" s="4">
        <v>25</v>
      </c>
      <c r="D19" s="1" t="s">
        <v>13</v>
      </c>
      <c r="E19" s="3" t="s">
        <v>67</v>
      </c>
    </row>
    <row r="20" spans="2:6" x14ac:dyDescent="0.2">
      <c r="B20" s="1" t="s">
        <v>15</v>
      </c>
      <c r="C20" s="4">
        <v>1</v>
      </c>
      <c r="D20" s="1" t="s">
        <v>30</v>
      </c>
      <c r="E20" s="26"/>
    </row>
    <row r="21" spans="2:6" x14ac:dyDescent="0.2">
      <c r="B21" s="1" t="s">
        <v>47</v>
      </c>
      <c r="C21" s="20">
        <v>0.45</v>
      </c>
      <c r="D21" s="1" t="s">
        <v>5</v>
      </c>
      <c r="E21" s="3" t="s">
        <v>60</v>
      </c>
    </row>
    <row r="22" spans="2:6" x14ac:dyDescent="0.2">
      <c r="B22" s="1" t="s">
        <v>18</v>
      </c>
      <c r="C22" s="20">
        <f>0.25</f>
        <v>0.25</v>
      </c>
      <c r="D22" s="1" t="s">
        <v>5</v>
      </c>
      <c r="E22" s="3" t="s">
        <v>61</v>
      </c>
    </row>
    <row r="23" spans="2:6" x14ac:dyDescent="0.2">
      <c r="B23" s="1" t="s">
        <v>62</v>
      </c>
      <c r="C23" s="21">
        <v>0.24</v>
      </c>
      <c r="D23" s="1" t="s">
        <v>5</v>
      </c>
      <c r="E23" s="3" t="s">
        <v>63</v>
      </c>
    </row>
    <row r="24" spans="2:6" x14ac:dyDescent="0.2">
      <c r="B24" s="19" t="s">
        <v>36</v>
      </c>
      <c r="C24" s="23">
        <v>9.35E-2</v>
      </c>
      <c r="D24" s="19" t="s">
        <v>5</v>
      </c>
      <c r="E24" s="3" t="s">
        <v>64</v>
      </c>
      <c r="F24" s="22"/>
    </row>
    <row r="25" spans="2:6" x14ac:dyDescent="0.2">
      <c r="B25" s="33" t="s">
        <v>51</v>
      </c>
      <c r="C25" s="20">
        <v>0.04</v>
      </c>
      <c r="D25" s="19" t="s">
        <v>5</v>
      </c>
      <c r="E25" s="3" t="s">
        <v>70</v>
      </c>
      <c r="F25" s="22"/>
    </row>
    <row r="26" spans="2:6" x14ac:dyDescent="0.2">
      <c r="B26" s="33" t="s">
        <v>52</v>
      </c>
      <c r="C26" s="20">
        <v>0</v>
      </c>
      <c r="D26" s="19"/>
      <c r="E26" s="3" t="s">
        <v>69</v>
      </c>
      <c r="F26" s="22"/>
    </row>
    <row r="27" spans="2:6" x14ac:dyDescent="0.2">
      <c r="B27" s="1" t="s">
        <v>19</v>
      </c>
      <c r="C27" s="12">
        <v>0.03</v>
      </c>
      <c r="D27" s="1"/>
    </row>
    <row r="28" spans="2:6" x14ac:dyDescent="0.2">
      <c r="B28" s="1" t="s">
        <v>37</v>
      </c>
      <c r="C28" s="12">
        <v>0.03</v>
      </c>
      <c r="D28" s="1"/>
    </row>
    <row r="29" spans="2:6" x14ac:dyDescent="0.2">
      <c r="B29" s="1" t="s">
        <v>20</v>
      </c>
      <c r="C29" s="12">
        <v>0.02</v>
      </c>
      <c r="D29" s="1"/>
    </row>
    <row r="31" spans="2:6" ht="15" x14ac:dyDescent="0.2">
      <c r="B31" s="18" t="s">
        <v>53</v>
      </c>
    </row>
    <row r="32" spans="2:6" x14ac:dyDescent="0.2">
      <c r="B32" s="1" t="s">
        <v>10</v>
      </c>
      <c r="C32" s="30">
        <f>500</f>
        <v>500</v>
      </c>
      <c r="D32" s="1" t="s">
        <v>4</v>
      </c>
    </row>
    <row r="33" spans="2:32" x14ac:dyDescent="0.2">
      <c r="B33" s="1" t="s">
        <v>11</v>
      </c>
      <c r="C33" s="30">
        <f>2000</f>
        <v>2000</v>
      </c>
      <c r="D33" s="1" t="s">
        <v>4</v>
      </c>
      <c r="E33" s="3" t="s">
        <v>65</v>
      </c>
    </row>
    <row r="34" spans="2:32" ht="28.5" customHeight="1" x14ac:dyDescent="0.2">
      <c r="B34" s="32" t="s">
        <v>48</v>
      </c>
      <c r="C34" s="29">
        <v>10000</v>
      </c>
      <c r="D34" s="1" t="s">
        <v>4</v>
      </c>
      <c r="E34" s="3" t="s">
        <v>66</v>
      </c>
    </row>
    <row r="35" spans="2:32" x14ac:dyDescent="0.2">
      <c r="B35" s="1" t="s">
        <v>6</v>
      </c>
      <c r="C35" s="4">
        <f>+C32+C33+C34</f>
        <v>12500</v>
      </c>
      <c r="D35" s="1" t="s">
        <v>4</v>
      </c>
    </row>
    <row r="36" spans="2:32" x14ac:dyDescent="0.2">
      <c r="B36" s="10"/>
      <c r="C36" s="13"/>
      <c r="D36" s="10"/>
    </row>
    <row r="38" spans="2:32" ht="15" x14ac:dyDescent="0.2">
      <c r="B38" s="18" t="s">
        <v>29</v>
      </c>
    </row>
    <row r="39" spans="2:32" x14ac:dyDescent="0.2">
      <c r="B39" s="1" t="s">
        <v>16</v>
      </c>
      <c r="C39" s="14">
        <f>NPV(C28,C57:AA57)</f>
        <v>55578.184570447025</v>
      </c>
      <c r="D39" s="1" t="s">
        <v>28</v>
      </c>
    </row>
    <row r="40" spans="2:32" x14ac:dyDescent="0.2">
      <c r="B40" s="19" t="s">
        <v>42</v>
      </c>
      <c r="C40" s="24">
        <f>NPV(C28,C59:AA59)</f>
        <v>145411.43696769452</v>
      </c>
      <c r="D40" s="1" t="s">
        <v>28</v>
      </c>
    </row>
    <row r="41" spans="2:32" x14ac:dyDescent="0.2">
      <c r="B41" s="1" t="s">
        <v>12</v>
      </c>
      <c r="C41" s="14">
        <f>+C39/25</f>
        <v>2223.127382817881</v>
      </c>
      <c r="D41" s="1" t="s">
        <v>28</v>
      </c>
    </row>
    <row r="42" spans="2:32" x14ac:dyDescent="0.2">
      <c r="C42" s="15"/>
    </row>
    <row r="43" spans="2:32" x14ac:dyDescent="0.2">
      <c r="C43" s="15"/>
    </row>
    <row r="44" spans="2:32" ht="15" x14ac:dyDescent="0.2">
      <c r="B44" s="18" t="s">
        <v>2</v>
      </c>
    </row>
    <row r="45" spans="2:32" x14ac:dyDescent="0.2">
      <c r="B45" s="1" t="s">
        <v>13</v>
      </c>
      <c r="C45" s="1">
        <v>1</v>
      </c>
      <c r="D45" s="1">
        <v>2</v>
      </c>
      <c r="E45" s="1">
        <v>3</v>
      </c>
      <c r="F45" s="1">
        <v>4</v>
      </c>
      <c r="G45" s="1">
        <v>5</v>
      </c>
      <c r="H45" s="1">
        <v>6</v>
      </c>
      <c r="I45" s="1">
        <v>7</v>
      </c>
      <c r="J45" s="1">
        <v>8</v>
      </c>
      <c r="K45" s="1">
        <v>9</v>
      </c>
      <c r="L45" s="1">
        <v>10</v>
      </c>
      <c r="M45" s="1">
        <v>11</v>
      </c>
      <c r="N45" s="1">
        <v>12</v>
      </c>
      <c r="O45" s="1">
        <v>13</v>
      </c>
      <c r="P45" s="1">
        <v>14</v>
      </c>
      <c r="Q45" s="1">
        <v>15</v>
      </c>
      <c r="R45" s="1">
        <v>16</v>
      </c>
      <c r="S45" s="1">
        <v>17</v>
      </c>
      <c r="T45" s="1">
        <v>18</v>
      </c>
      <c r="U45" s="1">
        <v>19</v>
      </c>
      <c r="V45" s="1">
        <v>20</v>
      </c>
      <c r="W45" s="1">
        <v>21</v>
      </c>
      <c r="X45" s="1">
        <v>22</v>
      </c>
      <c r="Y45" s="1">
        <v>23</v>
      </c>
      <c r="Z45" s="1">
        <v>24</v>
      </c>
      <c r="AA45" s="1">
        <v>25</v>
      </c>
      <c r="AB45" s="1">
        <v>26</v>
      </c>
      <c r="AC45" s="1">
        <v>27</v>
      </c>
      <c r="AD45" s="1">
        <v>28</v>
      </c>
      <c r="AE45" s="1">
        <v>29</v>
      </c>
      <c r="AF45" s="1">
        <v>30</v>
      </c>
    </row>
    <row r="46" spans="2:32" x14ac:dyDescent="0.2">
      <c r="B46" s="5" t="s">
        <v>21</v>
      </c>
      <c r="C46" s="1"/>
      <c r="D46" s="1"/>
      <c r="E46" s="1"/>
      <c r="F46" s="1"/>
      <c r="G46" s="1"/>
      <c r="H46" s="1"/>
      <c r="I46" s="1"/>
      <c r="J46" s="1"/>
      <c r="K46" s="1"/>
      <c r="L46" s="1"/>
      <c r="M46" s="1"/>
      <c r="N46" s="1"/>
      <c r="O46" s="1"/>
      <c r="P46" s="1"/>
      <c r="Q46" s="1"/>
      <c r="R46" s="1"/>
      <c r="S46" s="1"/>
      <c r="T46" s="1"/>
      <c r="U46" s="1"/>
      <c r="V46" s="1"/>
      <c r="W46" s="1"/>
      <c r="X46" s="1"/>
      <c r="Y46" s="1"/>
      <c r="Z46" s="1"/>
      <c r="AA46" s="1"/>
    </row>
    <row r="47" spans="2:32" x14ac:dyDescent="0.2">
      <c r="B47" s="1" t="s">
        <v>8</v>
      </c>
      <c r="C47" s="4">
        <f>$C$10*($C$21+$C$23-$C$24)*$C$18</f>
        <v>47600.69999999999</v>
      </c>
      <c r="D47" s="4">
        <f>C47*(1+$C$27)</f>
        <v>49028.72099999999</v>
      </c>
      <c r="E47" s="4">
        <f t="shared" ref="E47:Z47" si="0">D47*(1+$C$27)</f>
        <v>50499.58262999999</v>
      </c>
      <c r="F47" s="4">
        <f t="shared" si="0"/>
        <v>52014.570108899992</v>
      </c>
      <c r="G47" s="4">
        <f t="shared" si="0"/>
        <v>53575.007212166995</v>
      </c>
      <c r="H47" s="4">
        <f t="shared" si="0"/>
        <v>55182.257428532008</v>
      </c>
      <c r="I47" s="4">
        <f t="shared" si="0"/>
        <v>56837.725151387967</v>
      </c>
      <c r="J47" s="4">
        <f t="shared" si="0"/>
        <v>58542.856905929606</v>
      </c>
      <c r="K47" s="4">
        <f t="shared" si="0"/>
        <v>60299.142613107499</v>
      </c>
      <c r="L47" s="4">
        <f t="shared" si="0"/>
        <v>62108.116891500722</v>
      </c>
      <c r="M47" s="4">
        <f t="shared" si="0"/>
        <v>63971.360398245743</v>
      </c>
      <c r="N47" s="4">
        <f t="shared" si="0"/>
        <v>65890.501210193121</v>
      </c>
      <c r="O47" s="4">
        <f t="shared" si="0"/>
        <v>67867.216246498923</v>
      </c>
      <c r="P47" s="4">
        <f t="shared" si="0"/>
        <v>69903.232733893892</v>
      </c>
      <c r="Q47" s="4">
        <f t="shared" si="0"/>
        <v>72000.329715910717</v>
      </c>
      <c r="R47" s="4">
        <f t="shared" si="0"/>
        <v>74160.339607388043</v>
      </c>
      <c r="S47" s="4">
        <f t="shared" si="0"/>
        <v>76385.149795609686</v>
      </c>
      <c r="T47" s="4">
        <f t="shared" si="0"/>
        <v>78676.704289477973</v>
      </c>
      <c r="U47" s="4">
        <f t="shared" si="0"/>
        <v>81037.005418162313</v>
      </c>
      <c r="V47" s="4">
        <f t="shared" si="0"/>
        <v>83468.115580707177</v>
      </c>
      <c r="W47" s="4">
        <f t="shared" si="0"/>
        <v>85972.159048128393</v>
      </c>
      <c r="X47" s="4">
        <f t="shared" si="0"/>
        <v>88551.323819572252</v>
      </c>
      <c r="Y47" s="4">
        <f t="shared" si="0"/>
        <v>91207.86353415942</v>
      </c>
      <c r="Z47" s="4">
        <f t="shared" si="0"/>
        <v>93944.099440184204</v>
      </c>
      <c r="AA47" s="4">
        <f>Z47*(1+$C$27)</f>
        <v>96762.422423389726</v>
      </c>
      <c r="AB47" s="4">
        <f t="shared" ref="AB47:AF47" si="1">AA47*(1+$C$27)</f>
        <v>99665.295096091417</v>
      </c>
      <c r="AC47" s="4">
        <f t="shared" si="1"/>
        <v>102655.25394897416</v>
      </c>
      <c r="AD47" s="4">
        <f t="shared" si="1"/>
        <v>105734.91156744339</v>
      </c>
      <c r="AE47" s="4">
        <f t="shared" si="1"/>
        <v>108906.95891446668</v>
      </c>
      <c r="AF47" s="4">
        <f t="shared" si="1"/>
        <v>112174.16768190068</v>
      </c>
    </row>
    <row r="48" spans="2:32" x14ac:dyDescent="0.2">
      <c r="B48" s="1" t="s">
        <v>9</v>
      </c>
      <c r="C48" s="4">
        <f>$C$10*($C$22-$C$25)*(1-$C$18)</f>
        <v>7182.0000000000009</v>
      </c>
      <c r="D48" s="4">
        <f>C48*(1+$C$27)</f>
        <v>7397.4600000000009</v>
      </c>
      <c r="E48" s="4">
        <f t="shared" ref="E48:Z48" si="2">D48*(1+$C$27)</f>
        <v>7619.3838000000014</v>
      </c>
      <c r="F48" s="4">
        <f t="shared" si="2"/>
        <v>7847.9653140000019</v>
      </c>
      <c r="G48" s="4">
        <f t="shared" si="2"/>
        <v>8083.404273420002</v>
      </c>
      <c r="H48" s="4">
        <f t="shared" si="2"/>
        <v>8325.9064016226021</v>
      </c>
      <c r="I48" s="4">
        <f t="shared" si="2"/>
        <v>8575.6835936712796</v>
      </c>
      <c r="J48" s="4">
        <f t="shared" si="2"/>
        <v>8832.9541014814185</v>
      </c>
      <c r="K48" s="4">
        <f t="shared" si="2"/>
        <v>9097.9427245258612</v>
      </c>
      <c r="L48" s="4">
        <f t="shared" si="2"/>
        <v>9370.8810062616376</v>
      </c>
      <c r="M48" s="4">
        <f t="shared" si="2"/>
        <v>9652.0074364494867</v>
      </c>
      <c r="N48" s="4">
        <f t="shared" si="2"/>
        <v>9941.5676595429723</v>
      </c>
      <c r="O48" s="4">
        <f t="shared" si="2"/>
        <v>10239.814689329261</v>
      </c>
      <c r="P48" s="4">
        <f t="shared" si="2"/>
        <v>10547.009130009139</v>
      </c>
      <c r="Q48" s="4">
        <f t="shared" si="2"/>
        <v>10863.419403909413</v>
      </c>
      <c r="R48" s="4">
        <f t="shared" si="2"/>
        <v>11189.321986026695</v>
      </c>
      <c r="S48" s="4">
        <f t="shared" si="2"/>
        <v>11525.001645607495</v>
      </c>
      <c r="T48" s="4">
        <f t="shared" si="2"/>
        <v>11870.751694975721</v>
      </c>
      <c r="U48" s="4">
        <f t="shared" si="2"/>
        <v>12226.874245824993</v>
      </c>
      <c r="V48" s="4">
        <f t="shared" si="2"/>
        <v>12593.680473199744</v>
      </c>
      <c r="W48" s="4">
        <f t="shared" si="2"/>
        <v>12971.490887395736</v>
      </c>
      <c r="X48" s="4">
        <f t="shared" si="2"/>
        <v>13360.635614017609</v>
      </c>
      <c r="Y48" s="4">
        <f t="shared" si="2"/>
        <v>13761.454682438138</v>
      </c>
      <c r="Z48" s="4">
        <f t="shared" si="2"/>
        <v>14174.298322911282</v>
      </c>
      <c r="AA48" s="4">
        <f>Z48*(1+$C$27)</f>
        <v>14599.52727259862</v>
      </c>
      <c r="AB48" s="4">
        <f t="shared" ref="AB48:AF48" si="3">AA48*(1+$C$27)</f>
        <v>15037.513090776578</v>
      </c>
      <c r="AC48" s="4">
        <f t="shared" si="3"/>
        <v>15488.638483499875</v>
      </c>
      <c r="AD48" s="4">
        <f t="shared" si="3"/>
        <v>15953.297638004871</v>
      </c>
      <c r="AE48" s="4">
        <f t="shared" si="3"/>
        <v>16431.896567145017</v>
      </c>
      <c r="AF48" s="4">
        <f t="shared" si="3"/>
        <v>16924.853464159369</v>
      </c>
    </row>
    <row r="49" spans="2:32" x14ac:dyDescent="0.2">
      <c r="B49" s="10" t="s">
        <v>31</v>
      </c>
      <c r="C49" s="16">
        <f>+C48+C47</f>
        <v>54782.69999999999</v>
      </c>
      <c r="D49" s="16">
        <f t="shared" ref="D49:Z49" si="4">+D48+D47</f>
        <v>56426.18099999999</v>
      </c>
      <c r="E49" s="16">
        <f t="shared" si="4"/>
        <v>58118.966429999993</v>
      </c>
      <c r="F49" s="16">
        <f t="shared" si="4"/>
        <v>59862.535422899993</v>
      </c>
      <c r="G49" s="16">
        <f t="shared" si="4"/>
        <v>61658.411485586999</v>
      </c>
      <c r="H49" s="16">
        <f t="shared" si="4"/>
        <v>63508.163830154612</v>
      </c>
      <c r="I49" s="16">
        <f t="shared" si="4"/>
        <v>65413.408745059249</v>
      </c>
      <c r="J49" s="16">
        <f t="shared" si="4"/>
        <v>67375.81100741103</v>
      </c>
      <c r="K49" s="16">
        <f t="shared" si="4"/>
        <v>69397.085337633354</v>
      </c>
      <c r="L49" s="16">
        <f t="shared" si="4"/>
        <v>71478.997897762354</v>
      </c>
      <c r="M49" s="16">
        <f t="shared" si="4"/>
        <v>73623.367834695237</v>
      </c>
      <c r="N49" s="16">
        <f t="shared" si="4"/>
        <v>75832.068869736089</v>
      </c>
      <c r="O49" s="16">
        <f t="shared" si="4"/>
        <v>78107.030935828181</v>
      </c>
      <c r="P49" s="16">
        <f t="shared" si="4"/>
        <v>80450.241863903037</v>
      </c>
      <c r="Q49" s="16">
        <f t="shared" si="4"/>
        <v>82863.749119820131</v>
      </c>
      <c r="R49" s="16">
        <f t="shared" si="4"/>
        <v>85349.661593414741</v>
      </c>
      <c r="S49" s="16">
        <f t="shared" si="4"/>
        <v>87910.151441217182</v>
      </c>
      <c r="T49" s="16">
        <f t="shared" si="4"/>
        <v>90547.4559844537</v>
      </c>
      <c r="U49" s="16">
        <f t="shared" si="4"/>
        <v>93263.879663987304</v>
      </c>
      <c r="V49" s="16">
        <f t="shared" si="4"/>
        <v>96061.796053906917</v>
      </c>
      <c r="W49" s="16">
        <f t="shared" si="4"/>
        <v>98943.649935524125</v>
      </c>
      <c r="X49" s="16">
        <f t="shared" si="4"/>
        <v>101911.95943358986</v>
      </c>
      <c r="Y49" s="16">
        <f t="shared" si="4"/>
        <v>104969.31821659756</v>
      </c>
      <c r="Z49" s="16">
        <f t="shared" si="4"/>
        <v>108118.39776309549</v>
      </c>
      <c r="AA49" s="16">
        <f>+AA48+AA47</f>
        <v>111361.94969598834</v>
      </c>
      <c r="AB49" s="16">
        <f t="shared" ref="AB49:AF49" si="5">+AB48+AB47</f>
        <v>114702.808186868</v>
      </c>
      <c r="AC49" s="16">
        <f t="shared" si="5"/>
        <v>118143.89243247404</v>
      </c>
      <c r="AD49" s="16">
        <f t="shared" si="5"/>
        <v>121688.20920544825</v>
      </c>
      <c r="AE49" s="16">
        <f t="shared" si="5"/>
        <v>125338.8554816117</v>
      </c>
      <c r="AF49" s="16">
        <f t="shared" si="5"/>
        <v>129099.02114606005</v>
      </c>
    </row>
    <row r="50" spans="2:32" x14ac:dyDescent="0.2">
      <c r="B50" s="5" t="s">
        <v>22</v>
      </c>
      <c r="C50" s="4"/>
      <c r="D50" s="4"/>
      <c r="E50" s="4"/>
      <c r="F50" s="4"/>
      <c r="G50" s="4"/>
      <c r="H50" s="4"/>
      <c r="I50" s="4"/>
      <c r="J50" s="4"/>
      <c r="K50" s="4"/>
      <c r="L50" s="4"/>
      <c r="M50" s="4"/>
      <c r="N50" s="4"/>
      <c r="O50" s="4"/>
      <c r="P50" s="4"/>
      <c r="Q50" s="4"/>
      <c r="R50" s="4"/>
      <c r="S50" s="4"/>
      <c r="T50" s="4"/>
      <c r="U50" s="4"/>
      <c r="V50" s="4"/>
      <c r="W50" s="4"/>
      <c r="X50" s="4"/>
      <c r="Y50" s="4"/>
      <c r="Z50" s="4"/>
      <c r="AA50" s="4"/>
    </row>
    <row r="51" spans="2:32" x14ac:dyDescent="0.2">
      <c r="B51" s="1" t="s">
        <v>0</v>
      </c>
      <c r="D51" s="4"/>
      <c r="E51" s="4"/>
      <c r="F51" s="4"/>
      <c r="G51" s="4"/>
      <c r="H51" s="4"/>
      <c r="I51" s="4"/>
      <c r="J51" s="4"/>
      <c r="K51" s="4"/>
      <c r="L51" s="4"/>
      <c r="M51" s="4"/>
      <c r="N51" s="4"/>
      <c r="O51" s="4">
        <f>-C17*(1+C29)^O45</f>
        <v>-85378.037609950537</v>
      </c>
      <c r="P51" s="4"/>
      <c r="Q51" s="4"/>
      <c r="R51" s="4"/>
      <c r="S51" s="4"/>
      <c r="T51" s="4"/>
      <c r="U51" s="4"/>
      <c r="V51" s="4"/>
      <c r="W51" s="4"/>
      <c r="X51" s="4"/>
      <c r="Y51" s="4"/>
      <c r="Z51" s="4"/>
      <c r="AA51" s="4"/>
    </row>
    <row r="52" spans="2:32" x14ac:dyDescent="0.2">
      <c r="B52" s="1" t="s">
        <v>23</v>
      </c>
      <c r="C52" s="4">
        <f>-$C$35</f>
        <v>-12500</v>
      </c>
      <c r="D52" s="4">
        <f t="shared" ref="D52:Z52" si="6">+C52*(1+$C$29)</f>
        <v>-12750</v>
      </c>
      <c r="E52" s="4">
        <f t="shared" si="6"/>
        <v>-13005</v>
      </c>
      <c r="F52" s="4">
        <f t="shared" si="6"/>
        <v>-13265.1</v>
      </c>
      <c r="G52" s="4">
        <f t="shared" si="6"/>
        <v>-13530.402</v>
      </c>
      <c r="H52" s="4">
        <f t="shared" si="6"/>
        <v>-13801.010040000001</v>
      </c>
      <c r="I52" s="4">
        <f t="shared" si="6"/>
        <v>-14077.030240800001</v>
      </c>
      <c r="J52" s="4">
        <f t="shared" si="6"/>
        <v>-14358.570845616001</v>
      </c>
      <c r="K52" s="4">
        <f t="shared" si="6"/>
        <v>-14645.742262528322</v>
      </c>
      <c r="L52" s="4">
        <f t="shared" si="6"/>
        <v>-14938.657107778889</v>
      </c>
      <c r="M52" s="4">
        <f t="shared" si="6"/>
        <v>-15237.430249934467</v>
      </c>
      <c r="N52" s="4">
        <f t="shared" si="6"/>
        <v>-15542.178854933156</v>
      </c>
      <c r="O52" s="4">
        <f t="shared" si="6"/>
        <v>-15853.022432031819</v>
      </c>
      <c r="P52" s="4">
        <f t="shared" si="6"/>
        <v>-16170.082880672457</v>
      </c>
      <c r="Q52" s="4">
        <f t="shared" si="6"/>
        <v>-16493.484538285906</v>
      </c>
      <c r="R52" s="4">
        <f t="shared" si="6"/>
        <v>-16823.354229051623</v>
      </c>
      <c r="S52" s="4">
        <f t="shared" si="6"/>
        <v>-17159.821313632656</v>
      </c>
      <c r="T52" s="4">
        <f t="shared" si="6"/>
        <v>-17503.01773990531</v>
      </c>
      <c r="U52" s="4">
        <f t="shared" si="6"/>
        <v>-17853.078094703418</v>
      </c>
      <c r="V52" s="4">
        <f t="shared" si="6"/>
        <v>-18210.139656597486</v>
      </c>
      <c r="W52" s="4">
        <f t="shared" si="6"/>
        <v>-18574.342449729436</v>
      </c>
      <c r="X52" s="4">
        <f t="shared" si="6"/>
        <v>-18945.829298724024</v>
      </c>
      <c r="Y52" s="4">
        <f t="shared" si="6"/>
        <v>-19324.745884698506</v>
      </c>
      <c r="Z52" s="4">
        <f t="shared" si="6"/>
        <v>-19711.240802392476</v>
      </c>
      <c r="AA52" s="4">
        <f>+Z52*(1+$C$29)</f>
        <v>-20105.465618440325</v>
      </c>
      <c r="AB52" s="4">
        <f t="shared" ref="AB52:AF52" si="7">+AA52*(1+$C$29)</f>
        <v>-20507.574930809133</v>
      </c>
      <c r="AC52" s="4">
        <f t="shared" si="7"/>
        <v>-20917.726429425315</v>
      </c>
      <c r="AD52" s="4">
        <f t="shared" si="7"/>
        <v>-21336.080958013823</v>
      </c>
      <c r="AE52" s="4">
        <f t="shared" si="7"/>
        <v>-21762.802577174101</v>
      </c>
      <c r="AF52" s="4">
        <f t="shared" si="7"/>
        <v>-22198.058628717583</v>
      </c>
    </row>
    <row r="53" spans="2:32" x14ac:dyDescent="0.2">
      <c r="B53" s="1" t="s">
        <v>1</v>
      </c>
      <c r="C53" s="4"/>
      <c r="D53" s="4">
        <f>+(D47+D48)*D58%*-1</f>
        <v>-496.55039279999994</v>
      </c>
      <c r="E53" s="4">
        <f t="shared" ref="E53:AA53" si="8">+(E47+E48)*E58%*-1</f>
        <v>-1022.893809168</v>
      </c>
      <c r="F53" s="4">
        <f t="shared" si="8"/>
        <v>-1580.3709351645598</v>
      </c>
      <c r="G53" s="4">
        <f t="shared" si="8"/>
        <v>-2170.3760842926627</v>
      </c>
      <c r="H53" s="4">
        <f t="shared" si="8"/>
        <v>-2794.3592085268033</v>
      </c>
      <c r="I53" s="4">
        <f t="shared" si="8"/>
        <v>-3453.8279817391285</v>
      </c>
      <c r="J53" s="4">
        <f t="shared" si="8"/>
        <v>-4150.3499580565194</v>
      </c>
      <c r="K53" s="4">
        <f t="shared" si="8"/>
        <v>-4885.5548077693884</v>
      </c>
      <c r="L53" s="4">
        <f t="shared" si="8"/>
        <v>-5661.1366335027778</v>
      </c>
      <c r="M53" s="4">
        <f t="shared" si="8"/>
        <v>-6478.8563694531813</v>
      </c>
      <c r="N53" s="4">
        <f t="shared" si="8"/>
        <v>-7340.5442665904538</v>
      </c>
      <c r="O53" s="4">
        <f t="shared" si="8"/>
        <v>-8248.1024668234586</v>
      </c>
      <c r="P53" s="4">
        <f t="shared" si="8"/>
        <v>-9203.5076692305101</v>
      </c>
      <c r="Q53" s="4">
        <f t="shared" si="8"/>
        <v>-10208.813891561842</v>
      </c>
      <c r="R53" s="4">
        <f t="shared" si="8"/>
        <v>-11266.155330330748</v>
      </c>
      <c r="S53" s="4">
        <f t="shared" si="8"/>
        <v>-12377.749322923384</v>
      </c>
      <c r="T53" s="4">
        <f t="shared" si="8"/>
        <v>-13545.89941527428</v>
      </c>
      <c r="U53" s="4">
        <f t="shared" si="8"/>
        <v>-14772.998538775595</v>
      </c>
      <c r="V53" s="4">
        <f t="shared" si="8"/>
        <v>-16061.532300213243</v>
      </c>
      <c r="W53" s="4">
        <f t="shared" si="8"/>
        <v>-17414.082388652252</v>
      </c>
      <c r="X53" s="4">
        <f t="shared" si="8"/>
        <v>-18833.330103327411</v>
      </c>
      <c r="Y53" s="4">
        <f t="shared" si="8"/>
        <v>-20322.060006733289</v>
      </c>
      <c r="Z53" s="4">
        <f t="shared" si="8"/>
        <v>-21883.163707250529</v>
      </c>
      <c r="AA53" s="4">
        <f t="shared" si="8"/>
        <v>-23519.643775792738</v>
      </c>
      <c r="AB53" s="4">
        <f t="shared" ref="AB53:AF53" si="9">+(AB47+AB48)*AB58%*-1</f>
        <v>-25234.617801110962</v>
      </c>
      <c r="AC53" s="4">
        <f t="shared" si="9"/>
        <v>-27031.322588550061</v>
      </c>
      <c r="AD53" s="4">
        <f t="shared" si="9"/>
        <v>-28913.118507214502</v>
      </c>
      <c r="AE53" s="4">
        <f t="shared" si="9"/>
        <v>-30883.493990669118</v>
      </c>
      <c r="AF53" s="4">
        <f t="shared" si="9"/>
        <v>-32946.070196474524</v>
      </c>
    </row>
    <row r="54" spans="2:32" x14ac:dyDescent="0.2">
      <c r="B54" s="1" t="s">
        <v>43</v>
      </c>
      <c r="C54" s="4">
        <f t="shared" ref="C54:AF54" si="10">PMT($C$28,25,$C$13)</f>
        <v>-46229.436186497871</v>
      </c>
      <c r="D54" s="4">
        <f t="shared" si="10"/>
        <v>-46229.436186497871</v>
      </c>
      <c r="E54" s="4">
        <f t="shared" si="10"/>
        <v>-46229.436186497871</v>
      </c>
      <c r="F54" s="4">
        <f t="shared" si="10"/>
        <v>-46229.436186497871</v>
      </c>
      <c r="G54" s="4">
        <f t="shared" si="10"/>
        <v>-46229.436186497871</v>
      </c>
      <c r="H54" s="4">
        <f t="shared" si="10"/>
        <v>-46229.436186497871</v>
      </c>
      <c r="I54" s="4">
        <f t="shared" si="10"/>
        <v>-46229.436186497871</v>
      </c>
      <c r="J54" s="4">
        <f t="shared" si="10"/>
        <v>-46229.436186497871</v>
      </c>
      <c r="K54" s="4">
        <f t="shared" si="10"/>
        <v>-46229.436186497871</v>
      </c>
      <c r="L54" s="4">
        <f t="shared" si="10"/>
        <v>-46229.436186497871</v>
      </c>
      <c r="M54" s="4">
        <f t="shared" si="10"/>
        <v>-46229.436186497871</v>
      </c>
      <c r="N54" s="4">
        <f t="shared" si="10"/>
        <v>-46229.436186497871</v>
      </c>
      <c r="O54" s="4">
        <f t="shared" si="10"/>
        <v>-46229.436186497871</v>
      </c>
      <c r="P54" s="4">
        <f t="shared" si="10"/>
        <v>-46229.436186497871</v>
      </c>
      <c r="Q54" s="4">
        <f t="shared" si="10"/>
        <v>-46229.436186497871</v>
      </c>
      <c r="R54" s="4">
        <f t="shared" si="10"/>
        <v>-46229.436186497871</v>
      </c>
      <c r="S54" s="4">
        <f t="shared" si="10"/>
        <v>-46229.436186497871</v>
      </c>
      <c r="T54" s="4">
        <f t="shared" si="10"/>
        <v>-46229.436186497871</v>
      </c>
      <c r="U54" s="4">
        <f t="shared" si="10"/>
        <v>-46229.436186497871</v>
      </c>
      <c r="V54" s="4">
        <f t="shared" si="10"/>
        <v>-46229.436186497871</v>
      </c>
      <c r="W54" s="4">
        <f t="shared" si="10"/>
        <v>-46229.436186497871</v>
      </c>
      <c r="X54" s="4">
        <f t="shared" si="10"/>
        <v>-46229.436186497871</v>
      </c>
      <c r="Y54" s="4">
        <f t="shared" si="10"/>
        <v>-46229.436186497871</v>
      </c>
      <c r="Z54" s="4">
        <f t="shared" si="10"/>
        <v>-46229.436186497871</v>
      </c>
      <c r="AA54" s="4">
        <f t="shared" si="10"/>
        <v>-46229.436186497871</v>
      </c>
      <c r="AB54" s="4">
        <f t="shared" si="10"/>
        <v>-46229.436186497871</v>
      </c>
      <c r="AC54" s="4">
        <f t="shared" si="10"/>
        <v>-46229.436186497871</v>
      </c>
      <c r="AD54" s="4">
        <f t="shared" si="10"/>
        <v>-46229.436186497871</v>
      </c>
      <c r="AE54" s="4">
        <f t="shared" si="10"/>
        <v>-46229.436186497871</v>
      </c>
      <c r="AF54" s="4">
        <f t="shared" si="10"/>
        <v>-46229.436186497871</v>
      </c>
    </row>
    <row r="55" spans="2:32" x14ac:dyDescent="0.2">
      <c r="B55" s="1" t="s">
        <v>44</v>
      </c>
      <c r="C55" s="4">
        <f t="shared" ref="C55:AF55" si="11">PMT($C$28,30,$C$13)</f>
        <v>-41070.503752803321</v>
      </c>
      <c r="D55" s="4">
        <f t="shared" si="11"/>
        <v>-41070.503752803321</v>
      </c>
      <c r="E55" s="4">
        <f t="shared" si="11"/>
        <v>-41070.503752803321</v>
      </c>
      <c r="F55" s="4">
        <f t="shared" si="11"/>
        <v>-41070.503752803321</v>
      </c>
      <c r="G55" s="4">
        <f t="shared" si="11"/>
        <v>-41070.503752803321</v>
      </c>
      <c r="H55" s="4">
        <f t="shared" si="11"/>
        <v>-41070.503752803321</v>
      </c>
      <c r="I55" s="4">
        <f t="shared" si="11"/>
        <v>-41070.503752803321</v>
      </c>
      <c r="J55" s="4">
        <f t="shared" si="11"/>
        <v>-41070.503752803321</v>
      </c>
      <c r="K55" s="4">
        <f t="shared" si="11"/>
        <v>-41070.503752803321</v>
      </c>
      <c r="L55" s="4">
        <f t="shared" si="11"/>
        <v>-41070.503752803321</v>
      </c>
      <c r="M55" s="4">
        <f t="shared" si="11"/>
        <v>-41070.503752803321</v>
      </c>
      <c r="N55" s="4">
        <f t="shared" si="11"/>
        <v>-41070.503752803321</v>
      </c>
      <c r="O55" s="4">
        <f t="shared" si="11"/>
        <v>-41070.503752803321</v>
      </c>
      <c r="P55" s="4">
        <f t="shared" si="11"/>
        <v>-41070.503752803321</v>
      </c>
      <c r="Q55" s="4">
        <f t="shared" si="11"/>
        <v>-41070.503752803321</v>
      </c>
      <c r="R55" s="4">
        <f t="shared" si="11"/>
        <v>-41070.503752803321</v>
      </c>
      <c r="S55" s="4">
        <f t="shared" si="11"/>
        <v>-41070.503752803321</v>
      </c>
      <c r="T55" s="4">
        <f t="shared" si="11"/>
        <v>-41070.503752803321</v>
      </c>
      <c r="U55" s="4">
        <f t="shared" si="11"/>
        <v>-41070.503752803321</v>
      </c>
      <c r="V55" s="4">
        <f t="shared" si="11"/>
        <v>-41070.503752803321</v>
      </c>
      <c r="W55" s="4">
        <f t="shared" si="11"/>
        <v>-41070.503752803321</v>
      </c>
      <c r="X55" s="4">
        <f t="shared" si="11"/>
        <v>-41070.503752803321</v>
      </c>
      <c r="Y55" s="4">
        <f t="shared" si="11"/>
        <v>-41070.503752803321</v>
      </c>
      <c r="Z55" s="4">
        <f t="shared" si="11"/>
        <v>-41070.503752803321</v>
      </c>
      <c r="AA55" s="4">
        <f t="shared" si="11"/>
        <v>-41070.503752803321</v>
      </c>
      <c r="AB55" s="4">
        <f t="shared" si="11"/>
        <v>-41070.503752803321</v>
      </c>
      <c r="AC55" s="4">
        <f t="shared" si="11"/>
        <v>-41070.503752803321</v>
      </c>
      <c r="AD55" s="4">
        <f t="shared" si="11"/>
        <v>-41070.503752803321</v>
      </c>
      <c r="AE55" s="4">
        <f t="shared" si="11"/>
        <v>-41070.503752803321</v>
      </c>
      <c r="AF55" s="4">
        <f t="shared" si="11"/>
        <v>-41070.503752803321</v>
      </c>
    </row>
    <row r="56" spans="2:32" x14ac:dyDescent="0.2">
      <c r="B56" s="1" t="s">
        <v>32</v>
      </c>
      <c r="C56" s="4">
        <f>+C54+C53+C52+C51</f>
        <v>-58729.436186497871</v>
      </c>
      <c r="D56" s="4">
        <f t="shared" ref="D56:AA56" si="12">+D54+D53+D52+D51</f>
        <v>-59475.986579297874</v>
      </c>
      <c r="E56" s="4">
        <f t="shared" si="12"/>
        <v>-60257.329995665874</v>
      </c>
      <c r="F56" s="4">
        <f t="shared" si="12"/>
        <v>-61074.907121662429</v>
      </c>
      <c r="G56" s="4">
        <f t="shared" si="12"/>
        <v>-61930.214270790537</v>
      </c>
      <c r="H56" s="4">
        <f t="shared" si="12"/>
        <v>-62824.805435024675</v>
      </c>
      <c r="I56" s="4">
        <f t="shared" si="12"/>
        <v>-63760.294409037</v>
      </c>
      <c r="J56" s="4">
        <f t="shared" si="12"/>
        <v>-64738.356990170389</v>
      </c>
      <c r="K56" s="4">
        <f t="shared" si="12"/>
        <v>-65760.733256795589</v>
      </c>
      <c r="L56" s="4">
        <f t="shared" si="12"/>
        <v>-66829.229927779539</v>
      </c>
      <c r="M56" s="4">
        <f t="shared" si="12"/>
        <v>-67945.722805885525</v>
      </c>
      <c r="N56" s="4">
        <f t="shared" si="12"/>
        <v>-69112.159308021481</v>
      </c>
      <c r="O56" s="4">
        <f t="shared" si="12"/>
        <v>-155708.59869530369</v>
      </c>
      <c r="P56" s="4">
        <f t="shared" si="12"/>
        <v>-71603.026736400832</v>
      </c>
      <c r="Q56" s="4">
        <f t="shared" si="12"/>
        <v>-72931.73461634561</v>
      </c>
      <c r="R56" s="4">
        <f t="shared" si="12"/>
        <v>-74318.945745880235</v>
      </c>
      <c r="S56" s="4">
        <f t="shared" si="12"/>
        <v>-75767.006823053904</v>
      </c>
      <c r="T56" s="4">
        <f t="shared" si="12"/>
        <v>-77278.353341677459</v>
      </c>
      <c r="U56" s="4">
        <f t="shared" si="12"/>
        <v>-78855.512819976881</v>
      </c>
      <c r="V56" s="4">
        <f t="shared" si="12"/>
        <v>-80501.108143308607</v>
      </c>
      <c r="W56" s="4">
        <f t="shared" si="12"/>
        <v>-82217.861024879559</v>
      </c>
      <c r="X56" s="4">
        <f t="shared" si="12"/>
        <v>-84008.595588549302</v>
      </c>
      <c r="Y56" s="4">
        <f t="shared" si="12"/>
        <v>-85876.242077929666</v>
      </c>
      <c r="Z56" s="4">
        <f t="shared" si="12"/>
        <v>-87823.840696140876</v>
      </c>
      <c r="AA56" s="4">
        <f t="shared" si="12"/>
        <v>-89854.545580730934</v>
      </c>
      <c r="AB56" s="4">
        <f t="shared" ref="AB56:AF56" si="13">+AB54+AB53+AB52+AB51</f>
        <v>-91971.628918417962</v>
      </c>
      <c r="AC56" s="4">
        <f t="shared" si="13"/>
        <v>-94178.48520447324</v>
      </c>
      <c r="AD56" s="4">
        <f t="shared" si="13"/>
        <v>-96478.635651726188</v>
      </c>
      <c r="AE56" s="4">
        <f t="shared" si="13"/>
        <v>-98875.732754341094</v>
      </c>
      <c r="AF56" s="4">
        <f t="shared" si="13"/>
        <v>-101373.56501168998</v>
      </c>
    </row>
    <row r="57" spans="2:32" x14ac:dyDescent="0.2">
      <c r="B57" s="5" t="s">
        <v>46</v>
      </c>
      <c r="C57" s="4">
        <f>SUM(C47:C54)-C49</f>
        <v>-3946.7361864978811</v>
      </c>
      <c r="D57" s="4">
        <f t="shared" ref="D57:AA57" si="14">SUM(D47:D54)-D49</f>
        <v>-3049.8055792978776</v>
      </c>
      <c r="E57" s="4">
        <f t="shared" si="14"/>
        <v>-2138.3635656658807</v>
      </c>
      <c r="F57" s="4">
        <f t="shared" si="14"/>
        <v>-1212.3716987624503</v>
      </c>
      <c r="G57" s="4">
        <f t="shared" si="14"/>
        <v>-271.80278520353022</v>
      </c>
      <c r="H57" s="4">
        <f t="shared" si="14"/>
        <v>683.3583951299297</v>
      </c>
      <c r="I57" s="4">
        <f t="shared" si="14"/>
        <v>1653.1143360222486</v>
      </c>
      <c r="J57" s="4">
        <f t="shared" si="14"/>
        <v>2637.4540172406269</v>
      </c>
      <c r="K57" s="4">
        <f t="shared" si="14"/>
        <v>3636.3520808377798</v>
      </c>
      <c r="L57" s="4">
        <f t="shared" si="14"/>
        <v>4649.767969982815</v>
      </c>
      <c r="M57" s="4">
        <f t="shared" si="14"/>
        <v>5677.6450288097258</v>
      </c>
      <c r="N57" s="4">
        <f t="shared" si="14"/>
        <v>6719.9095617146086</v>
      </c>
      <c r="O57" s="4">
        <f t="shared" si="14"/>
        <v>-77601.567759475511</v>
      </c>
      <c r="P57" s="4">
        <f t="shared" si="14"/>
        <v>8847.2151275022043</v>
      </c>
      <c r="Q57" s="4">
        <f t="shared" si="14"/>
        <v>9932.0145034745074</v>
      </c>
      <c r="R57" s="4">
        <f t="shared" si="14"/>
        <v>11030.715847534506</v>
      </c>
      <c r="S57" s="4">
        <f t="shared" si="14"/>
        <v>12143.144618163264</v>
      </c>
      <c r="T57" s="4">
        <f t="shared" si="14"/>
        <v>13269.102642776255</v>
      </c>
      <c r="U57" s="4">
        <f t="shared" si="14"/>
        <v>14408.366844010423</v>
      </c>
      <c r="V57" s="4">
        <f t="shared" si="14"/>
        <v>15560.687910598324</v>
      </c>
      <c r="W57" s="4">
        <f t="shared" si="14"/>
        <v>16725.788910644551</v>
      </c>
      <c r="X57" s="4">
        <f t="shared" si="14"/>
        <v>17903.363845040571</v>
      </c>
      <c r="Y57" s="4">
        <f t="shared" si="14"/>
        <v>19093.076138667908</v>
      </c>
      <c r="Z57" s="4">
        <f t="shared" si="14"/>
        <v>20294.557066954614</v>
      </c>
      <c r="AA57" s="4">
        <f t="shared" si="14"/>
        <v>21507.404115257421</v>
      </c>
      <c r="AB57" s="4">
        <f t="shared" ref="AB57:AF57" si="15">SUM(AB47:AB54)-AB49</f>
        <v>22731.17926845004</v>
      </c>
      <c r="AC57" s="4">
        <f t="shared" si="15"/>
        <v>23965.407228000782</v>
      </c>
      <c r="AD57" s="4">
        <f t="shared" si="15"/>
        <v>25209.573553722032</v>
      </c>
      <c r="AE57" s="4">
        <f t="shared" si="15"/>
        <v>26463.122727270631</v>
      </c>
      <c r="AF57" s="4">
        <f t="shared" si="15"/>
        <v>27725.456134370092</v>
      </c>
    </row>
    <row r="58" spans="2:32" x14ac:dyDescent="0.2">
      <c r="C58" s="4">
        <f t="shared" ref="C58" si="16">SUM(C48:C55)-C50</f>
        <v>-37835.239939301202</v>
      </c>
      <c r="D58" s="17">
        <v>0.88</v>
      </c>
      <c r="E58" s="17">
        <f>+D58+0.88</f>
        <v>1.76</v>
      </c>
      <c r="F58" s="17">
        <f t="shared" ref="F58:AA58" si="17">+E58+0.88</f>
        <v>2.64</v>
      </c>
      <c r="G58" s="17">
        <f t="shared" si="17"/>
        <v>3.52</v>
      </c>
      <c r="H58" s="17">
        <f t="shared" si="17"/>
        <v>4.4000000000000004</v>
      </c>
      <c r="I58" s="17">
        <f t="shared" si="17"/>
        <v>5.28</v>
      </c>
      <c r="J58" s="17">
        <f t="shared" si="17"/>
        <v>6.16</v>
      </c>
      <c r="K58" s="17">
        <f t="shared" si="17"/>
        <v>7.04</v>
      </c>
      <c r="L58" s="17">
        <f t="shared" si="17"/>
        <v>7.92</v>
      </c>
      <c r="M58" s="17">
        <f t="shared" si="17"/>
        <v>8.8000000000000007</v>
      </c>
      <c r="N58" s="17">
        <f t="shared" si="17"/>
        <v>9.6800000000000015</v>
      </c>
      <c r="O58" s="17">
        <f t="shared" si="17"/>
        <v>10.560000000000002</v>
      </c>
      <c r="P58" s="17">
        <f t="shared" si="17"/>
        <v>11.440000000000003</v>
      </c>
      <c r="Q58" s="17">
        <f t="shared" si="17"/>
        <v>12.320000000000004</v>
      </c>
      <c r="R58" s="17">
        <f t="shared" si="17"/>
        <v>13.200000000000005</v>
      </c>
      <c r="S58" s="17">
        <f t="shared" si="17"/>
        <v>14.080000000000005</v>
      </c>
      <c r="T58" s="17">
        <f t="shared" si="17"/>
        <v>14.960000000000006</v>
      </c>
      <c r="U58" s="17">
        <f t="shared" si="17"/>
        <v>15.840000000000007</v>
      </c>
      <c r="V58" s="17">
        <f t="shared" si="17"/>
        <v>16.720000000000006</v>
      </c>
      <c r="W58" s="17">
        <f t="shared" si="17"/>
        <v>17.600000000000005</v>
      </c>
      <c r="X58" s="17">
        <f t="shared" si="17"/>
        <v>18.480000000000004</v>
      </c>
      <c r="Y58" s="17">
        <f t="shared" si="17"/>
        <v>19.360000000000003</v>
      </c>
      <c r="Z58" s="17">
        <f t="shared" si="17"/>
        <v>20.240000000000002</v>
      </c>
      <c r="AA58" s="17">
        <f t="shared" si="17"/>
        <v>21.12</v>
      </c>
      <c r="AB58" s="17">
        <f t="shared" ref="AB58" si="18">+AA58+0.88</f>
        <v>22</v>
      </c>
      <c r="AC58" s="17">
        <f t="shared" ref="AC58" si="19">+AB58+0.88</f>
        <v>22.88</v>
      </c>
      <c r="AD58" s="17">
        <f t="shared" ref="AD58" si="20">+AC58+0.88</f>
        <v>23.759999999999998</v>
      </c>
      <c r="AE58" s="17">
        <f t="shared" ref="AE58" si="21">+AD58+0.88</f>
        <v>24.639999999999997</v>
      </c>
      <c r="AF58" s="17">
        <f t="shared" ref="AF58" si="22">+AE58+0.88</f>
        <v>25.519999999999996</v>
      </c>
    </row>
    <row r="59" spans="2:32" x14ac:dyDescent="0.2">
      <c r="B59" s="3" t="s">
        <v>45</v>
      </c>
      <c r="C59" s="4">
        <f>SUM(C47:C55)-C49-C54</f>
        <v>1212.196247196669</v>
      </c>
      <c r="D59" s="4">
        <f>SUM(D47:D55)-D49-D54</f>
        <v>2109.1268543966726</v>
      </c>
      <c r="E59" s="4">
        <f t="shared" ref="E59:AE59" si="23">SUM(E47:E55)-E49-E54</f>
        <v>3020.5688680286694</v>
      </c>
      <c r="F59" s="4">
        <f t="shared" si="23"/>
        <v>3946.5607349320999</v>
      </c>
      <c r="G59" s="4">
        <f t="shared" si="23"/>
        <v>4887.1296484910199</v>
      </c>
      <c r="H59" s="4">
        <f t="shared" si="23"/>
        <v>5842.2908288244798</v>
      </c>
      <c r="I59" s="4">
        <f t="shared" si="23"/>
        <v>6812.0467697167987</v>
      </c>
      <c r="J59" s="4">
        <f t="shared" si="23"/>
        <v>7796.386450935177</v>
      </c>
      <c r="K59" s="4">
        <f t="shared" si="23"/>
        <v>8795.2845145323299</v>
      </c>
      <c r="L59" s="4">
        <f t="shared" si="23"/>
        <v>9808.7004036773651</v>
      </c>
      <c r="M59" s="4">
        <f t="shared" si="23"/>
        <v>10836.577462504276</v>
      </c>
      <c r="N59" s="4">
        <f t="shared" si="23"/>
        <v>11878.841995409159</v>
      </c>
      <c r="O59" s="4">
        <f t="shared" si="23"/>
        <v>-72442.635325780968</v>
      </c>
      <c r="P59" s="4">
        <f t="shared" si="23"/>
        <v>14006.147561196754</v>
      </c>
      <c r="Q59" s="4">
        <f t="shared" si="23"/>
        <v>15090.946937169057</v>
      </c>
      <c r="R59" s="4">
        <f t="shared" si="23"/>
        <v>16189.648281229056</v>
      </c>
      <c r="S59" s="4">
        <f t="shared" si="23"/>
        <v>17302.077051857814</v>
      </c>
      <c r="T59" s="4">
        <f t="shared" si="23"/>
        <v>18428.035076470806</v>
      </c>
      <c r="U59" s="4">
        <f t="shared" si="23"/>
        <v>19567.299277704966</v>
      </c>
      <c r="V59" s="4">
        <f t="shared" si="23"/>
        <v>20719.620344292867</v>
      </c>
      <c r="W59" s="4">
        <f t="shared" si="23"/>
        <v>21884.721344339094</v>
      </c>
      <c r="X59" s="4">
        <f t="shared" si="23"/>
        <v>23062.296278735113</v>
      </c>
      <c r="Y59" s="4">
        <f t="shared" si="23"/>
        <v>24252.008572362451</v>
      </c>
      <c r="Z59" s="4">
        <f t="shared" si="23"/>
        <v>25453.489500649157</v>
      </c>
      <c r="AA59" s="4">
        <f t="shared" si="23"/>
        <v>26666.336548951978</v>
      </c>
      <c r="AB59" s="4">
        <f t="shared" si="23"/>
        <v>27890.111702144597</v>
      </c>
      <c r="AC59" s="4">
        <f t="shared" si="23"/>
        <v>29124.33966169534</v>
      </c>
      <c r="AD59" s="4">
        <f t="shared" si="23"/>
        <v>30368.505987416589</v>
      </c>
      <c r="AE59" s="4">
        <f t="shared" si="23"/>
        <v>31622.055160965188</v>
      </c>
      <c r="AF59" s="4">
        <f>SUM(AF47:AF55)-AF49-AF54</f>
        <v>32884.388568064649</v>
      </c>
    </row>
    <row r="60" spans="2:32" x14ac:dyDescent="0.2">
      <c r="C60" s="17"/>
      <c r="D60" s="17"/>
      <c r="E60" s="17"/>
      <c r="F60" s="17"/>
      <c r="G60" s="17"/>
      <c r="H60" s="17"/>
      <c r="I60" s="17"/>
      <c r="J60" s="17"/>
      <c r="K60" s="17"/>
      <c r="L60" s="17"/>
      <c r="M60" s="17"/>
      <c r="N60" s="17"/>
      <c r="O60" s="17"/>
      <c r="P60" s="17"/>
      <c r="Q60" s="17"/>
      <c r="R60" s="17"/>
      <c r="S60" s="17"/>
      <c r="T60" s="17"/>
      <c r="U60" s="17"/>
      <c r="V60" s="17"/>
      <c r="W60" s="17"/>
      <c r="X60" s="17"/>
    </row>
    <row r="61" spans="2:32" x14ac:dyDescent="0.2">
      <c r="C61" s="17"/>
      <c r="D61" s="17"/>
      <c r="E61" s="17"/>
      <c r="F61" s="17"/>
      <c r="G61" s="17"/>
      <c r="H61" s="17"/>
      <c r="I61" s="17"/>
      <c r="J61" s="17"/>
      <c r="K61" s="17"/>
      <c r="L61" s="17"/>
      <c r="M61" s="17"/>
      <c r="N61" s="17"/>
      <c r="O61" s="17"/>
      <c r="P61" s="17"/>
      <c r="Q61" s="17"/>
      <c r="R61" s="17"/>
      <c r="S61" s="17"/>
      <c r="T61" s="17"/>
      <c r="U61" s="17"/>
      <c r="V61" s="17"/>
      <c r="W61" s="17"/>
      <c r="X61" s="17"/>
    </row>
    <row r="62" spans="2:32" x14ac:dyDescent="0.2">
      <c r="C62" s="17"/>
      <c r="D62" s="17"/>
      <c r="E62" s="17"/>
      <c r="F62" s="17"/>
      <c r="G62" s="17"/>
      <c r="H62" s="17"/>
      <c r="I62" s="17"/>
      <c r="J62" s="17"/>
      <c r="K62" s="17"/>
      <c r="L62" s="17"/>
      <c r="M62" s="17"/>
      <c r="N62" s="17"/>
      <c r="O62" s="17"/>
      <c r="P62" s="17"/>
      <c r="Q62" s="17"/>
      <c r="R62" s="17"/>
      <c r="S62" s="17"/>
      <c r="T62" s="17"/>
      <c r="U62" s="17"/>
      <c r="V62" s="17"/>
      <c r="W62" s="17"/>
      <c r="X62" s="17"/>
    </row>
    <row r="63" spans="2:32" x14ac:dyDescent="0.2">
      <c r="C63" s="17"/>
      <c r="D63" s="17"/>
      <c r="E63" s="17"/>
      <c r="F63" s="17"/>
      <c r="G63" s="17"/>
      <c r="H63" s="17"/>
      <c r="I63" s="17"/>
      <c r="J63" s="17"/>
      <c r="K63" s="17"/>
      <c r="L63" s="17"/>
      <c r="M63" s="17"/>
      <c r="N63" s="17"/>
      <c r="O63" s="17"/>
      <c r="P63" s="17"/>
      <c r="Q63" s="17"/>
      <c r="R63" s="17"/>
      <c r="S63" s="17"/>
      <c r="T63" s="17"/>
      <c r="U63" s="17"/>
      <c r="V63" s="17"/>
      <c r="W63" s="17"/>
      <c r="X63" s="17"/>
    </row>
    <row r="64" spans="2:32" x14ac:dyDescent="0.2">
      <c r="C64" s="17"/>
      <c r="D64" s="17"/>
      <c r="E64" s="17"/>
      <c r="F64" s="17"/>
      <c r="G64" s="17"/>
      <c r="H64" s="17"/>
      <c r="I64" s="17"/>
      <c r="J64" s="17"/>
      <c r="K64" s="17"/>
      <c r="L64" s="17"/>
      <c r="M64" s="17"/>
      <c r="N64" s="17"/>
      <c r="O64" s="17"/>
      <c r="P64" s="17"/>
      <c r="Q64" s="17"/>
      <c r="R64" s="17"/>
      <c r="S64" s="17"/>
      <c r="T64" s="17"/>
      <c r="U64" s="17"/>
      <c r="V64" s="17"/>
      <c r="W64" s="17"/>
      <c r="X64" s="17"/>
    </row>
    <row r="65" spans="2:27" x14ac:dyDescent="0.2">
      <c r="C65" s="17"/>
      <c r="D65" s="17"/>
      <c r="E65" s="17"/>
      <c r="F65" s="17"/>
      <c r="G65" s="17"/>
      <c r="H65" s="17"/>
      <c r="I65" s="17"/>
      <c r="J65" s="17"/>
      <c r="K65" s="17"/>
      <c r="L65" s="17"/>
      <c r="M65" s="17"/>
      <c r="N65" s="17"/>
      <c r="O65" s="17"/>
      <c r="P65" s="17"/>
      <c r="Q65" s="17"/>
      <c r="R65" s="17"/>
      <c r="S65" s="17"/>
      <c r="T65" s="17"/>
      <c r="U65" s="17"/>
      <c r="V65" s="17"/>
      <c r="W65" s="17"/>
      <c r="X65" s="17"/>
    </row>
    <row r="66" spans="2:27" x14ac:dyDescent="0.2">
      <c r="C66" s="17"/>
      <c r="D66" s="17"/>
      <c r="E66" s="17"/>
      <c r="F66" s="17"/>
      <c r="G66" s="17"/>
      <c r="H66" s="17"/>
      <c r="I66" s="17"/>
      <c r="J66" s="17"/>
      <c r="K66" s="17"/>
      <c r="L66" s="17"/>
      <c r="M66" s="17"/>
      <c r="N66" s="17"/>
      <c r="O66" s="17"/>
      <c r="P66" s="17"/>
      <c r="Q66" s="17"/>
      <c r="R66" s="17"/>
      <c r="S66" s="17"/>
      <c r="T66" s="17"/>
      <c r="U66" s="17"/>
      <c r="V66" s="17"/>
      <c r="W66" s="17"/>
      <c r="X66" s="17"/>
    </row>
    <row r="67" spans="2:27" x14ac:dyDescent="0.2">
      <c r="C67" s="17"/>
      <c r="D67" s="17"/>
      <c r="E67" s="17"/>
      <c r="F67" s="17"/>
      <c r="G67" s="17"/>
      <c r="H67" s="17"/>
      <c r="I67" s="17"/>
      <c r="J67" s="17"/>
      <c r="K67" s="17"/>
      <c r="L67" s="17"/>
      <c r="M67" s="17"/>
      <c r="N67" s="17"/>
      <c r="O67" s="17"/>
      <c r="P67" s="17"/>
      <c r="Q67" s="17"/>
      <c r="R67" s="17"/>
      <c r="S67" s="17"/>
      <c r="T67" s="17"/>
      <c r="U67" s="17"/>
      <c r="V67" s="17"/>
      <c r="W67" s="17"/>
      <c r="X67" s="17"/>
    </row>
    <row r="68" spans="2:27" x14ac:dyDescent="0.2">
      <c r="C68" s="17"/>
      <c r="D68" s="17"/>
      <c r="E68" s="17"/>
      <c r="F68" s="17"/>
      <c r="G68" s="17"/>
      <c r="H68" s="17"/>
      <c r="I68" s="17"/>
      <c r="J68" s="17"/>
      <c r="K68" s="17"/>
      <c r="L68" s="17"/>
      <c r="M68" s="17"/>
      <c r="N68" s="17"/>
      <c r="O68" s="17"/>
      <c r="P68" s="17"/>
      <c r="Q68" s="17"/>
      <c r="R68" s="17"/>
      <c r="S68" s="17"/>
      <c r="T68" s="17"/>
      <c r="U68" s="17"/>
      <c r="V68" s="17"/>
      <c r="W68" s="17"/>
      <c r="X68" s="17"/>
    </row>
    <row r="69" spans="2:27" x14ac:dyDescent="0.2">
      <c r="C69" s="17"/>
      <c r="D69" s="17"/>
      <c r="E69" s="17"/>
      <c r="F69" s="17"/>
      <c r="G69" s="17"/>
      <c r="H69" s="17"/>
      <c r="I69" s="17"/>
      <c r="J69" s="17"/>
      <c r="K69" s="17"/>
      <c r="L69" s="17"/>
      <c r="M69" s="17"/>
      <c r="N69" s="17"/>
      <c r="O69" s="17"/>
      <c r="P69" s="17"/>
      <c r="Q69" s="17"/>
      <c r="R69" s="17"/>
      <c r="S69" s="17"/>
      <c r="T69" s="17"/>
      <c r="U69" s="17"/>
      <c r="V69" s="17"/>
      <c r="W69" s="17"/>
      <c r="X69" s="17"/>
    </row>
    <row r="70" spans="2:27" x14ac:dyDescent="0.2">
      <c r="C70" s="17"/>
      <c r="D70" s="17"/>
      <c r="E70" s="17"/>
      <c r="F70" s="17"/>
      <c r="G70" s="17"/>
      <c r="H70" s="17"/>
      <c r="I70" s="17"/>
      <c r="J70" s="17"/>
      <c r="K70" s="17"/>
      <c r="L70" s="17"/>
      <c r="M70" s="17"/>
      <c r="N70" s="17"/>
      <c r="O70" s="17"/>
      <c r="P70" s="17"/>
      <c r="Q70" s="17"/>
      <c r="R70" s="17"/>
      <c r="S70" s="17"/>
      <c r="T70" s="17"/>
      <c r="U70" s="17"/>
      <c r="V70" s="17"/>
      <c r="W70" s="17"/>
      <c r="X70" s="17"/>
    </row>
    <row r="71" spans="2:27" x14ac:dyDescent="0.2">
      <c r="C71" s="17"/>
      <c r="D71" s="17"/>
      <c r="E71" s="17"/>
      <c r="F71" s="17"/>
      <c r="G71" s="17"/>
      <c r="H71" s="17"/>
      <c r="I71" s="17"/>
      <c r="J71" s="17"/>
      <c r="K71" s="17"/>
      <c r="L71" s="17"/>
      <c r="M71" s="17"/>
      <c r="N71" s="17"/>
      <c r="O71" s="17">
        <f>PMT(C28,13,O51)</f>
        <v>8028.0579402644935</v>
      </c>
      <c r="P71" s="17">
        <f>+O71</f>
        <v>8028.0579402644935</v>
      </c>
      <c r="Q71" s="17">
        <f t="shared" ref="Q71:AA71" si="24">+P71</f>
        <v>8028.0579402644935</v>
      </c>
      <c r="R71" s="17">
        <f t="shared" si="24"/>
        <v>8028.0579402644935</v>
      </c>
      <c r="S71" s="17">
        <f t="shared" si="24"/>
        <v>8028.0579402644935</v>
      </c>
      <c r="T71" s="17">
        <f t="shared" si="24"/>
        <v>8028.0579402644935</v>
      </c>
      <c r="U71" s="17">
        <f t="shared" si="24"/>
        <v>8028.0579402644935</v>
      </c>
      <c r="V71" s="17">
        <f t="shared" si="24"/>
        <v>8028.0579402644935</v>
      </c>
      <c r="W71" s="17">
        <f t="shared" si="24"/>
        <v>8028.0579402644935</v>
      </c>
      <c r="X71" s="17">
        <f t="shared" si="24"/>
        <v>8028.0579402644935</v>
      </c>
      <c r="Y71" s="17">
        <f t="shared" si="24"/>
        <v>8028.0579402644935</v>
      </c>
      <c r="Z71" s="17">
        <f t="shared" si="24"/>
        <v>8028.0579402644935</v>
      </c>
      <c r="AA71" s="17">
        <f t="shared" si="24"/>
        <v>8028.0579402644935</v>
      </c>
    </row>
    <row r="72" spans="2:27" x14ac:dyDescent="0.2">
      <c r="C72" s="17"/>
      <c r="D72" s="17"/>
      <c r="E72" s="17"/>
      <c r="F72" s="17"/>
      <c r="G72" s="17"/>
      <c r="H72" s="17"/>
      <c r="I72" s="17"/>
      <c r="J72" s="17"/>
      <c r="K72" s="17"/>
      <c r="L72" s="17"/>
      <c r="M72" s="17"/>
      <c r="N72" s="17"/>
      <c r="O72" s="17"/>
      <c r="P72" s="17"/>
      <c r="Q72" s="17"/>
      <c r="R72" s="17"/>
      <c r="S72" s="17"/>
      <c r="T72" s="17"/>
      <c r="U72" s="17"/>
      <c r="V72" s="17"/>
      <c r="W72" s="17"/>
      <c r="X72" s="17"/>
    </row>
    <row r="73" spans="2:27" x14ac:dyDescent="0.2">
      <c r="C73" s="17"/>
      <c r="D73" s="17"/>
      <c r="E73" s="17"/>
      <c r="F73" s="17"/>
      <c r="G73" s="17"/>
      <c r="H73" s="17"/>
      <c r="I73" s="17"/>
      <c r="J73" s="17"/>
      <c r="K73" s="17"/>
      <c r="L73" s="17"/>
      <c r="M73" s="17"/>
      <c r="N73" s="17"/>
      <c r="O73" s="17"/>
      <c r="P73" s="17"/>
      <c r="Q73" s="17"/>
      <c r="R73" s="17"/>
      <c r="S73" s="17"/>
      <c r="T73" s="17"/>
      <c r="U73" s="17"/>
      <c r="V73" s="17"/>
      <c r="W73" s="17"/>
      <c r="X73" s="17"/>
    </row>
    <row r="74" spans="2:27" x14ac:dyDescent="0.2">
      <c r="C74" s="17"/>
      <c r="D74" s="17"/>
      <c r="E74" s="17"/>
      <c r="F74" s="17"/>
      <c r="G74" s="17"/>
      <c r="H74" s="17"/>
      <c r="I74" s="17"/>
      <c r="J74" s="17"/>
      <c r="K74" s="17"/>
      <c r="L74" s="17"/>
      <c r="M74" s="17"/>
      <c r="N74" s="17"/>
      <c r="O74" s="17"/>
      <c r="P74" s="17"/>
      <c r="Q74" s="17"/>
      <c r="R74" s="17"/>
      <c r="S74" s="17"/>
      <c r="T74" s="17"/>
      <c r="U74" s="17"/>
      <c r="V74" s="17"/>
      <c r="W74" s="17"/>
      <c r="X74" s="17"/>
    </row>
    <row r="75" spans="2:27" x14ac:dyDescent="0.2">
      <c r="C75" s="17"/>
      <c r="D75" s="17"/>
      <c r="E75" s="17"/>
      <c r="F75" s="17"/>
      <c r="G75" s="17"/>
      <c r="H75" s="17"/>
      <c r="I75" s="17"/>
      <c r="J75" s="17"/>
      <c r="K75" s="17"/>
      <c r="L75" s="17"/>
      <c r="M75" s="17"/>
      <c r="N75" s="17"/>
      <c r="O75" s="17"/>
      <c r="P75" s="17"/>
      <c r="Q75" s="17"/>
      <c r="R75" s="17"/>
      <c r="S75" s="17"/>
      <c r="T75" s="17"/>
      <c r="U75" s="17"/>
      <c r="V75" s="17"/>
      <c r="W75" s="17"/>
      <c r="X75" s="17"/>
    </row>
    <row r="76" spans="2:27" x14ac:dyDescent="0.2">
      <c r="C76" s="17"/>
      <c r="D76" s="17"/>
      <c r="E76" s="17"/>
      <c r="F76" s="17"/>
      <c r="G76" s="17"/>
      <c r="H76" s="17"/>
      <c r="I76" s="17"/>
      <c r="J76" s="17"/>
      <c r="K76" s="17"/>
      <c r="L76" s="17"/>
      <c r="M76" s="17"/>
      <c r="N76" s="17"/>
      <c r="O76" s="17"/>
      <c r="P76" s="17"/>
      <c r="Q76" s="17"/>
      <c r="R76" s="17"/>
      <c r="S76" s="17"/>
      <c r="T76" s="17"/>
      <c r="U76" s="17"/>
      <c r="V76" s="17"/>
      <c r="W76" s="17"/>
      <c r="X76" s="17"/>
    </row>
    <row r="77" spans="2:27" x14ac:dyDescent="0.2">
      <c r="C77" s="17"/>
      <c r="D77" s="17"/>
      <c r="E77" s="17"/>
      <c r="F77" s="17"/>
      <c r="G77" s="17"/>
      <c r="H77" s="17"/>
      <c r="I77" s="17"/>
      <c r="J77" s="17"/>
      <c r="K77" s="17"/>
      <c r="L77" s="17"/>
      <c r="M77" s="17"/>
      <c r="N77" s="17"/>
      <c r="O77" s="17"/>
      <c r="P77" s="17"/>
      <c r="Q77" s="17"/>
      <c r="R77" s="17"/>
      <c r="S77" s="17"/>
      <c r="T77" s="17"/>
      <c r="U77" s="17"/>
      <c r="V77" s="17"/>
      <c r="W77" s="17"/>
      <c r="X77" s="17"/>
    </row>
    <row r="78" spans="2:27" x14ac:dyDescent="0.2">
      <c r="C78" s="17"/>
      <c r="D78" s="17"/>
      <c r="E78" s="17"/>
      <c r="F78" s="17"/>
      <c r="G78" s="17"/>
      <c r="H78" s="17"/>
      <c r="I78" s="17"/>
      <c r="J78" s="17"/>
      <c r="K78" s="17"/>
      <c r="L78" s="17"/>
      <c r="M78" s="17"/>
      <c r="N78" s="17"/>
      <c r="O78" s="17"/>
      <c r="P78" s="17"/>
      <c r="Q78" s="17"/>
      <c r="R78" s="17"/>
      <c r="S78" s="17"/>
      <c r="T78" s="17"/>
      <c r="U78" s="17"/>
      <c r="V78" s="17"/>
      <c r="W78" s="17"/>
      <c r="X78" s="17"/>
    </row>
    <row r="80" spans="2:27" x14ac:dyDescent="0.2">
      <c r="B80" s="3" t="s">
        <v>33</v>
      </c>
    </row>
    <row r="81" spans="2:27" x14ac:dyDescent="0.2">
      <c r="B81" s="3" t="str">
        <f>+B49</f>
        <v>total indtægter</v>
      </c>
      <c r="C81" s="17">
        <f t="shared" ref="C81:AA81" si="25">+C49</f>
        <v>54782.69999999999</v>
      </c>
      <c r="D81" s="17">
        <f t="shared" si="25"/>
        <v>56426.18099999999</v>
      </c>
      <c r="E81" s="17">
        <f t="shared" si="25"/>
        <v>58118.966429999993</v>
      </c>
      <c r="F81" s="17">
        <f t="shared" si="25"/>
        <v>59862.535422899993</v>
      </c>
      <c r="G81" s="17">
        <f t="shared" si="25"/>
        <v>61658.411485586999</v>
      </c>
      <c r="H81" s="17">
        <f t="shared" si="25"/>
        <v>63508.163830154612</v>
      </c>
      <c r="I81" s="17">
        <f t="shared" si="25"/>
        <v>65413.408745059249</v>
      </c>
      <c r="J81" s="17">
        <f t="shared" si="25"/>
        <v>67375.81100741103</v>
      </c>
      <c r="K81" s="17">
        <f t="shared" si="25"/>
        <v>69397.085337633354</v>
      </c>
      <c r="L81" s="17">
        <f t="shared" si="25"/>
        <v>71478.997897762354</v>
      </c>
      <c r="M81" s="17">
        <f t="shared" si="25"/>
        <v>73623.367834695237</v>
      </c>
      <c r="N81" s="17">
        <f t="shared" si="25"/>
        <v>75832.068869736089</v>
      </c>
      <c r="O81" s="17">
        <f t="shared" si="25"/>
        <v>78107.030935828181</v>
      </c>
      <c r="P81" s="17">
        <f t="shared" si="25"/>
        <v>80450.241863903037</v>
      </c>
      <c r="Q81" s="17">
        <f t="shared" si="25"/>
        <v>82863.749119820131</v>
      </c>
      <c r="R81" s="17">
        <f t="shared" si="25"/>
        <v>85349.661593414741</v>
      </c>
      <c r="S81" s="17">
        <f t="shared" si="25"/>
        <v>87910.151441217182</v>
      </c>
      <c r="T81" s="17">
        <f t="shared" si="25"/>
        <v>90547.4559844537</v>
      </c>
      <c r="U81" s="17">
        <f t="shared" si="25"/>
        <v>93263.879663987304</v>
      </c>
      <c r="V81" s="17">
        <f t="shared" si="25"/>
        <v>96061.796053906917</v>
      </c>
      <c r="W81" s="17">
        <f t="shared" si="25"/>
        <v>98943.649935524125</v>
      </c>
      <c r="X81" s="17">
        <f t="shared" si="25"/>
        <v>101911.95943358986</v>
      </c>
      <c r="Y81" s="17">
        <f t="shared" si="25"/>
        <v>104969.31821659756</v>
      </c>
      <c r="Z81" s="17">
        <f t="shared" si="25"/>
        <v>108118.39776309549</v>
      </c>
      <c r="AA81" s="17">
        <f t="shared" si="25"/>
        <v>111361.94969598834</v>
      </c>
    </row>
    <row r="82" spans="2:27" hidden="1" x14ac:dyDescent="0.2">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spans="2:27" x14ac:dyDescent="0.2">
      <c r="B83" s="3" t="str">
        <f>+B56</f>
        <v>total udgifter</v>
      </c>
      <c r="C83" s="17">
        <f>+C56*-1</f>
        <v>58729.436186497871</v>
      </c>
      <c r="D83" s="17">
        <f t="shared" ref="D83:N83" si="26">+D56*-1</f>
        <v>59475.986579297874</v>
      </c>
      <c r="E83" s="17">
        <f t="shared" si="26"/>
        <v>60257.329995665874</v>
      </c>
      <c r="F83" s="17">
        <f t="shared" si="26"/>
        <v>61074.907121662429</v>
      </c>
      <c r="G83" s="17">
        <f t="shared" si="26"/>
        <v>61930.214270790537</v>
      </c>
      <c r="H83" s="17">
        <f t="shared" si="26"/>
        <v>62824.805435024675</v>
      </c>
      <c r="I83" s="17">
        <f t="shared" si="26"/>
        <v>63760.294409037</v>
      </c>
      <c r="J83" s="17">
        <f t="shared" si="26"/>
        <v>64738.356990170389</v>
      </c>
      <c r="K83" s="17">
        <f t="shared" si="26"/>
        <v>65760.733256795589</v>
      </c>
      <c r="L83" s="17">
        <f t="shared" si="26"/>
        <v>66829.229927779539</v>
      </c>
      <c r="M83" s="17">
        <f t="shared" si="26"/>
        <v>67945.722805885525</v>
      </c>
      <c r="N83" s="17">
        <f t="shared" si="26"/>
        <v>69112.159308021481</v>
      </c>
      <c r="O83" s="17">
        <f>+O56*-1+O51+O71</f>
        <v>78358.619025617649</v>
      </c>
      <c r="P83" s="17">
        <f t="shared" ref="P83:AA83" si="27">+P56*-1+P51+P71</f>
        <v>79631.084676665327</v>
      </c>
      <c r="Q83" s="17">
        <f t="shared" si="27"/>
        <v>80959.792556610104</v>
      </c>
      <c r="R83" s="17">
        <f t="shared" si="27"/>
        <v>82347.00368614473</v>
      </c>
      <c r="S83" s="17">
        <f t="shared" si="27"/>
        <v>83795.064763318398</v>
      </c>
      <c r="T83" s="17">
        <f t="shared" si="27"/>
        <v>85306.411281941953</v>
      </c>
      <c r="U83" s="17">
        <f t="shared" si="27"/>
        <v>86883.570760241375</v>
      </c>
      <c r="V83" s="17">
        <f t="shared" si="27"/>
        <v>88529.166083573102</v>
      </c>
      <c r="W83" s="17">
        <f t="shared" si="27"/>
        <v>90245.918965144054</v>
      </c>
      <c r="X83" s="17">
        <f t="shared" si="27"/>
        <v>92036.653528813797</v>
      </c>
      <c r="Y83" s="17">
        <f t="shared" si="27"/>
        <v>93904.300018194161</v>
      </c>
      <c r="Z83" s="17">
        <f t="shared" si="27"/>
        <v>95851.898636405371</v>
      </c>
      <c r="AA83" s="17">
        <f t="shared" si="27"/>
        <v>97882.603520995428</v>
      </c>
    </row>
    <row r="84" spans="2:27" x14ac:dyDescent="0.2">
      <c r="B84" s="3" t="str">
        <f>+B57</f>
        <v>Netto Cashflow 25 år</v>
      </c>
      <c r="C84" s="17">
        <f t="shared" ref="C84:AA84" si="28">+C57</f>
        <v>-3946.7361864978811</v>
      </c>
      <c r="D84" s="17">
        <f t="shared" si="28"/>
        <v>-3049.8055792978776</v>
      </c>
      <c r="E84" s="17">
        <f t="shared" si="28"/>
        <v>-2138.3635656658807</v>
      </c>
      <c r="F84" s="17">
        <f t="shared" si="28"/>
        <v>-1212.3716987624503</v>
      </c>
      <c r="G84" s="17">
        <f t="shared" si="28"/>
        <v>-271.80278520353022</v>
      </c>
      <c r="H84" s="17">
        <f t="shared" si="28"/>
        <v>683.3583951299297</v>
      </c>
      <c r="I84" s="17">
        <f t="shared" si="28"/>
        <v>1653.1143360222486</v>
      </c>
      <c r="J84" s="17">
        <f t="shared" si="28"/>
        <v>2637.4540172406269</v>
      </c>
      <c r="K84" s="17">
        <f t="shared" si="28"/>
        <v>3636.3520808377798</v>
      </c>
      <c r="L84" s="17">
        <f t="shared" si="28"/>
        <v>4649.767969982815</v>
      </c>
      <c r="M84" s="17">
        <f t="shared" si="28"/>
        <v>5677.6450288097258</v>
      </c>
      <c r="N84" s="17">
        <f t="shared" si="28"/>
        <v>6719.9095617146086</v>
      </c>
      <c r="O84" s="17">
        <f t="shared" si="28"/>
        <v>-77601.567759475511</v>
      </c>
      <c r="P84" s="17">
        <f t="shared" si="28"/>
        <v>8847.2151275022043</v>
      </c>
      <c r="Q84" s="17">
        <f t="shared" si="28"/>
        <v>9932.0145034745074</v>
      </c>
      <c r="R84" s="17">
        <f t="shared" si="28"/>
        <v>11030.715847534506</v>
      </c>
      <c r="S84" s="17">
        <f t="shared" si="28"/>
        <v>12143.144618163264</v>
      </c>
      <c r="T84" s="17">
        <f t="shared" si="28"/>
        <v>13269.102642776255</v>
      </c>
      <c r="U84" s="17">
        <f t="shared" si="28"/>
        <v>14408.366844010423</v>
      </c>
      <c r="V84" s="17">
        <f t="shared" si="28"/>
        <v>15560.687910598324</v>
      </c>
      <c r="W84" s="17">
        <f t="shared" si="28"/>
        <v>16725.788910644551</v>
      </c>
      <c r="X84" s="17">
        <f t="shared" si="28"/>
        <v>17903.363845040571</v>
      </c>
      <c r="Y84" s="17">
        <f t="shared" si="28"/>
        <v>19093.076138667908</v>
      </c>
      <c r="Z84" s="17">
        <f t="shared" si="28"/>
        <v>20294.557066954614</v>
      </c>
      <c r="AA84" s="17">
        <f t="shared" si="28"/>
        <v>21507.404115257421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70" zoomScaleNormal="70" workbookViewId="0">
      <selection activeCell="C37" sqref="C37"/>
    </sheetView>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daStatusIcon xmlns="35269F5C-FB16-4699-9555-ACBEE190C935" xsi:nil="true"/>
    <CCMMeetingCaseId xmlns="35269F5C-FB16-4699-9555-ACBEE190C935" xsi:nil="true"/>
    <CCMAgendaItemId xmlns="35269F5C-FB16-4699-9555-ACBEE190C935" xsi:nil="true"/>
    <DocumentDescription xmlns="35269F5C-FB16-4699-9555-ACBEE190C935" xsi:nil="true"/>
    <CCMCognitiveType xmlns="http://schemas.microsoft.com/sharepoint/v3" xsi:nil="true"/>
    <CCMAgendaStatus xmlns="35269F5C-FB16-4699-9555-ACBEE190C935" xsi:nil="true"/>
    <CCMMeetingCaseLink xmlns="35269F5C-FB16-4699-9555-ACBEE190C935">
      <Url xsi:nil="true"/>
      <Description xsi:nil="true"/>
    </CCMMeetingCaseLink>
    <CCMAgendaDocumentStatus xmlns="35269F5C-FB16-4699-9555-ACBEE190C935" xsi:nil="true"/>
    <CCMMeetingCaseInstanceId xmlns="35269F5C-FB16-4699-9555-ACBEE190C935" xsi:nil="true"/>
    <Dokumenttype xmlns="35269F5C-FB16-4699-9555-ACBEE190C935">Notat</Dokumenttype>
    <CCMMetadataExtractionStatus xmlns="http://schemas.microsoft.com/sharepoint/v3">CCMPageCount:InProgress;CCMCommentCount:InProgress</CCMMetadataExtractionStatus>
    <WasEncrypted xmlns="http://schemas.microsoft.com/sharepoint/v3">false</WasEncrypted>
    <WasSigned xmlns="http://schemas.microsoft.com/sharepoint/v3">false</WasSigned>
    <LocalAttachment xmlns="http://schemas.microsoft.com/sharepoint/v3">false</LocalAttachment>
    <CCMTemplateID xmlns="http://schemas.microsoft.com/sharepoint/v3">0</CCMTemplateID>
    <CaseID xmlns="http://schemas.microsoft.com/sharepoint/v3">SAG-2020-00658</CaseID>
    <RegistrationDate xmlns="http://schemas.microsoft.com/sharepoint/v3" xsi:nil="true"/>
    <CaseRecordNumber xmlns="http://schemas.microsoft.com/sharepoint/v3">0</CaseRecordNumber>
    <Related xmlns="http://schemas.microsoft.com/sharepoint/v3">false</Related>
    <Finalized xmlns="http://schemas.microsoft.com/sharepoint/v3">false</Finalized>
    <CCMVisualId xmlns="http://schemas.microsoft.com/sharepoint/v3">SAG-2020-00658</CCMVisualId>
    <CCMSystemID xmlns="http://schemas.microsoft.com/sharepoint/v3">ca7dc1c5-fc98-48bd-8345-b1ffede9fa82</CCMSystemID>
    <DocID xmlns="http://schemas.microsoft.com/sharepoint/v3">3223545</DocID>
    <MailHasAttachments xmlns="http://schemas.microsoft.com/sharepoint/v3">false</MailHasAttachments>
    <CCMPageCount xmlns="http://schemas.microsoft.com/sharepoint/v3">0</CCMPageCount>
    <CCMCommentCount xmlns="http://schemas.microsoft.com/sharepoint/v3">0</CCMCommentCount>
    <CCMPreviewAnnotationsTasks xmlns="http://schemas.microsoft.com/sharepoint/v3">0</CCMPreviewAnnotationsTasks>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CB40B9335A74C346A1B1DD244739A75D" ma:contentTypeVersion="0" ma:contentTypeDescription="GetOrganized dokument" ma:contentTypeScope="" ma:versionID="b1b9b48b050c0e66be92b09d0162151c">
  <xsd:schema xmlns:xsd="http://www.w3.org/2001/XMLSchema" xmlns:xs="http://www.w3.org/2001/XMLSchema" xmlns:p="http://schemas.microsoft.com/office/2006/metadata/properties" xmlns:ns1="http://schemas.microsoft.com/sharepoint/v3" xmlns:ns2="35269F5C-FB16-4699-9555-ACBEE190C935" targetNamespace="http://schemas.microsoft.com/office/2006/metadata/properties" ma:root="true" ma:fieldsID="eaa191aa107a3540b2521799540dc418" ns1:_="" ns2:_="">
    <xsd:import namespace="http://schemas.microsoft.com/sharepoint/v3"/>
    <xsd:import namespace="35269F5C-FB16-4699-9555-ACBEE190C935"/>
    <xsd:element name="properties">
      <xsd:complexType>
        <xsd:sequence>
          <xsd:element name="documentManagement">
            <xsd:complexType>
              <xsd:all>
                <xsd:element ref="ns2:Dokumenttype"/>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CognitiveType" minOccurs="0"/>
                <xsd:element ref="ns1:CCMMetadataExtractionStatus" minOccurs="0"/>
                <xsd:element ref="ns1:CCMPageCount" minOccurs="0"/>
                <xsd:element ref="ns1:CCMCommentCount" minOccurs="0"/>
                <xsd:element ref="ns1:CCMPreviewAnnotationsTas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CognitiveType" ma:index="37" nillable="true" ma:displayName="CognitiveType" ma:decimals="0" ma:internalName="CCMCognitiveType" ma:readOnly="false">
      <xsd:simpleType>
        <xsd:restriction base="dms:Number"/>
      </xsd:simpleType>
    </xsd:element>
    <xsd:element name="CCMMetadataExtractionStatus" ma:index="38"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39" nillable="true" ma:displayName="Sider" ma:decimals="0" ma:internalName="CCMPageCount" ma:readOnly="true">
      <xsd:simpleType>
        <xsd:restriction base="dms:Number"/>
      </xsd:simpleType>
    </xsd:element>
    <xsd:element name="CCMCommentCount" ma:index="40" nillable="true" ma:displayName="Kommentarer" ma:decimals="0" ma:internalName="CCMCommentCount" ma:readOnly="true">
      <xsd:simpleType>
        <xsd:restriction base="dms:Number"/>
      </xsd:simpleType>
    </xsd:element>
    <xsd:element name="CCMPreviewAnnotationsTasks" ma:index="41" nillable="true" ma:displayName="Opgaver" ma:decimals="0" ma:internalName="CCMPreviewAnnotationsTasks"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5269F5C-FB16-4699-9555-ACBEE190C935" elementFormDefault="qualified">
    <xsd:import namespace="http://schemas.microsoft.com/office/2006/documentManagement/types"/>
    <xsd:import namespace="http://schemas.microsoft.com/office/infopath/2007/PartnerControls"/>
    <xsd:element name="Dokumenttype" ma:index="2"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ma:readOnly="false">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7BEE5-526D-4066-B2D5-802C4E8B144B}">
  <ds:schemaRefs>
    <ds:schemaRef ds:uri="http://purl.org/dc/dcmitype/"/>
    <ds:schemaRef ds:uri="http://www.w3.org/XML/1998/namespace"/>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35269F5C-FB16-4699-9555-ACBEE190C935"/>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08DA3F7-9E45-494D-8134-64CA6397F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269F5C-FB16-4699-9555-ACBEE190C9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973615-1DA2-4DF9-8914-D3FF6FE0A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Beregning</vt:lpstr>
      <vt:lpstr>Likviditet</vt:lpstr>
    </vt:vector>
  </TitlesOfParts>
  <Company>Aarhus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Århus kommunes solcelleberegningsmodel</dc:title>
  <dc:creator>aztle04</dc:creator>
  <cp:lastModifiedBy>Emilie Pihlkjær Nitschke</cp:lastModifiedBy>
  <dcterms:created xsi:type="dcterms:W3CDTF">2014-12-19T09:03:41Z</dcterms:created>
  <dcterms:modified xsi:type="dcterms:W3CDTF">2022-05-31T14:36:06Z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0x010100AC085CFC53BC46CEA2EADE194AD9D48200CB40B9335A74C346A1B1DD244739A75D</vt:lpwstr>
  </property>
  <property fmtid="{D5CDD505-2E9C-101B-9397-08002B2CF9AE}" pid="3" name="CCMIsSharedOnOneDrive">
    <vt:bool>false</vt:bool>
  </property>
  <property fmtid="{D5CDD505-2E9C-101B-9397-08002B2CF9AE}" pid="4" name="xd_Signature">
    <vt:bool>false</vt:bool>
  </property>
  <property fmtid="{D5CDD505-2E9C-101B-9397-08002B2CF9AE}" pid="5" name="CCMPostListPublishStatus">
    <vt:lpwstr>Afvist</vt:lpwstr>
  </property>
  <property fmtid="{D5CDD505-2E9C-101B-9397-08002B2CF9AE}" pid="6" name="CCMOneDriveID">
    <vt:lpwstr/>
  </property>
  <property fmtid="{D5CDD505-2E9C-101B-9397-08002B2CF9AE}" pid="7" name="CCMMustBeOnPostList">
    <vt:bool>true</vt:bool>
  </property>
  <property fmtid="{D5CDD505-2E9C-101B-9397-08002B2CF9AE}" pid="8" name="CCMOneDriveOwnerID">
    <vt:lpwstr/>
  </property>
  <property fmtid="{D5CDD505-2E9C-101B-9397-08002B2CF9AE}" pid="9" name="CCMOneDriveItemID">
    <vt:lpwstr/>
  </property>
  <property fmtid="{D5CDD505-2E9C-101B-9397-08002B2CF9AE}" pid="10" name="CCMSystem">
    <vt:lpwstr> </vt:lpwstr>
  </property>
  <property fmtid="{D5CDD505-2E9C-101B-9397-08002B2CF9AE}" pid="11" name="CCMEventContext">
    <vt:lpwstr>6525d807-0857-4b86-9447-53c67251bd03</vt:lpwstr>
  </property>
</Properties>
</file>