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Denne_projektmappe"/>
  <xr:revisionPtr revIDLastSave="0" documentId="13_ncr:20000001_{01873C6D-515F-4922-A90F-D143700440D3}" xr6:coauthVersionLast="47" xr6:coauthVersionMax="47" xr10:uidLastSave="{00000000-0000-0000-0000-000000000000}"/>
  <bookViews>
    <workbookView xWindow="40875" yWindow="2955" windowWidth="28800" windowHeight="15345" tabRatio="715" activeTab="1" xr2:uid="{00000000-000D-0000-FFFF-FFFF00000000}"/>
  </bookViews>
  <sheets>
    <sheet name="Forside" sheetId="12" r:id="rId1"/>
    <sheet name="Budget_Omkostninger" sheetId="13" r:id="rId2"/>
    <sheet name="Beregning" sheetId="16" r:id="rId3"/>
    <sheet name="PL" sheetId="8" r:id="rId4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13" l="1"/>
  <c r="E22" i="13" s="1"/>
  <c r="F14" i="16"/>
  <c r="E14" i="16"/>
  <c r="D14" i="16"/>
  <c r="C12" i="16"/>
  <c r="C14" i="16" s="1"/>
  <c r="C11" i="16"/>
  <c r="B14" i="16"/>
  <c r="B8" i="16"/>
  <c r="C4" i="16"/>
  <c r="C6" i="16" s="1"/>
  <c r="H5" i="13" l="1"/>
  <c r="C8" i="16" s="1"/>
  <c r="E13" i="13"/>
  <c r="E14" i="13"/>
  <c r="E76" i="13"/>
  <c r="E61" i="13"/>
  <c r="E69" i="13"/>
  <c r="E24" i="13"/>
  <c r="E42" i="13"/>
  <c r="E34" i="13"/>
  <c r="E82" i="13"/>
  <c r="E40" i="13"/>
  <c r="E79" i="13"/>
  <c r="E51" i="13"/>
  <c r="E16" i="13"/>
  <c r="E26" i="13"/>
  <c r="E43" i="13"/>
  <c r="E54" i="13"/>
  <c r="E8" i="13"/>
  <c r="E68" i="13"/>
  <c r="E53" i="13"/>
  <c r="E67" i="13"/>
  <c r="E30" i="13"/>
  <c r="E52" i="13"/>
  <c r="E10" i="13"/>
  <c r="E66" i="13"/>
  <c r="E29" i="13"/>
  <c r="E39" i="13"/>
  <c r="E11" i="13"/>
  <c r="E78" i="13"/>
  <c r="E65" i="13"/>
  <c r="E28" i="13"/>
  <c r="E38" i="13"/>
  <c r="E50" i="13"/>
  <c r="E7" i="13"/>
  <c r="E9" i="13"/>
  <c r="E77" i="13"/>
  <c r="E64" i="13"/>
  <c r="E27" i="13"/>
  <c r="E37" i="13"/>
  <c r="E49" i="13"/>
  <c r="E48" i="13"/>
  <c r="E36" i="13"/>
  <c r="E17" i="13"/>
  <c r="E74" i="13"/>
  <c r="E33" i="13"/>
  <c r="E25" i="13"/>
  <c r="E35" i="13"/>
  <c r="E60" i="13"/>
  <c r="E18" i="13"/>
  <c r="E73" i="13"/>
  <c r="E32" i="13"/>
  <c r="E62" i="13"/>
  <c r="E59" i="13"/>
  <c r="E19" i="13"/>
  <c r="E72" i="13"/>
  <c r="E46" i="13"/>
  <c r="E57" i="13"/>
  <c r="E58" i="13"/>
  <c r="E6" i="13"/>
  <c r="E20" i="13"/>
  <c r="E71" i="13"/>
  <c r="E45" i="13"/>
  <c r="E56" i="13"/>
  <c r="E81" i="13"/>
  <c r="E12" i="13"/>
  <c r="E21" i="13"/>
  <c r="E70" i="13"/>
  <c r="E44" i="13"/>
  <c r="E55" i="13"/>
  <c r="E80" i="13"/>
  <c r="C21" i="16"/>
  <c r="D18" i="16" l="1"/>
  <c r="E18" i="16"/>
  <c r="F18" i="16"/>
  <c r="C18" i="16"/>
  <c r="C23" i="16"/>
  <c r="C22" i="16"/>
  <c r="C33" i="16" s="1"/>
  <c r="C7" i="8" l="1"/>
  <c r="L15" i="8" l="1"/>
  <c r="K15" i="8" s="1"/>
  <c r="J15" i="8" s="1"/>
  <c r="I15" i="8" s="1"/>
  <c r="H15" i="8" s="1"/>
  <c r="G15" i="8" s="1"/>
  <c r="K14" i="8"/>
  <c r="J14" i="8" s="1"/>
  <c r="I14" i="8" s="1"/>
  <c r="H14" i="8" s="1"/>
  <c r="J13" i="8"/>
  <c r="I13" i="8" s="1"/>
  <c r="H13" i="8" s="1"/>
  <c r="G13" i="8" s="1"/>
  <c r="F13" i="8" s="1"/>
  <c r="I12" i="8"/>
  <c r="H12" i="8" s="1"/>
  <c r="G12" i="8" s="1"/>
  <c r="F12" i="8" s="1"/>
  <c r="E12" i="8" s="1"/>
  <c r="D12" i="8" s="1"/>
  <c r="C12" i="8" s="1"/>
  <c r="E9" i="8"/>
  <c r="D9" i="8"/>
  <c r="C9" i="8"/>
  <c r="L6" i="8"/>
  <c r="L7" i="8"/>
  <c r="L8" i="8"/>
  <c r="L9" i="8"/>
  <c r="L10" i="8"/>
  <c r="L11" i="8"/>
  <c r="L12" i="8"/>
  <c r="L13" i="8"/>
  <c r="L14" i="8"/>
  <c r="K13" i="8"/>
  <c r="K12" i="8"/>
  <c r="K11" i="8"/>
  <c r="K10" i="8"/>
  <c r="K9" i="8"/>
  <c r="K8" i="8"/>
  <c r="K7" i="8"/>
  <c r="K6" i="8"/>
  <c r="J6" i="8"/>
  <c r="J7" i="8"/>
  <c r="J8" i="8"/>
  <c r="J9" i="8"/>
  <c r="J10" i="8"/>
  <c r="J12" i="8"/>
  <c r="J11" i="8"/>
  <c r="I11" i="8"/>
  <c r="I10" i="8"/>
  <c r="I9" i="8"/>
  <c r="I8" i="8"/>
  <c r="I7" i="8"/>
  <c r="I6" i="8"/>
  <c r="G11" i="8"/>
  <c r="F11" i="8" s="1"/>
  <c r="E11" i="8" s="1"/>
  <c r="D11" i="8" s="1"/>
  <c r="C11" i="8" s="1"/>
  <c r="H10" i="8"/>
  <c r="F10" i="8"/>
  <c r="E10" i="8" s="1"/>
  <c r="D10" i="8" s="1"/>
  <c r="C10" i="8" s="1"/>
  <c r="G9" i="8"/>
  <c r="H9" i="8" s="1"/>
  <c r="F8" i="8"/>
  <c r="G8" i="8" s="1"/>
  <c r="H8" i="8" s="1"/>
  <c r="D8" i="8"/>
  <c r="C8" i="8"/>
  <c r="E7" i="8"/>
  <c r="F7" i="8" s="1"/>
  <c r="G7" i="8" s="1"/>
  <c r="H7" i="8" s="1"/>
  <c r="D6" i="8"/>
  <c r="E6" i="8" s="1"/>
  <c r="F6" i="8" s="1"/>
  <c r="G6" i="8" s="1"/>
  <c r="H6" i="8" s="1"/>
  <c r="F15" i="8" l="1"/>
  <c r="E15" i="8" s="1"/>
  <c r="D15" i="8" s="1"/>
  <c r="C15" i="8" s="1"/>
  <c r="G14" i="8"/>
  <c r="F14" i="8" s="1"/>
  <c r="E14" i="8" s="1"/>
  <c r="D14" i="8" s="1"/>
  <c r="C14" i="8" s="1"/>
  <c r="E13" i="8"/>
  <c r="D13" i="8" s="1"/>
  <c r="C13" i="8" s="1"/>
</calcChain>
</file>

<file path=xl/sharedStrings.xml><?xml version="1.0" encoding="utf-8"?>
<sst xmlns="http://schemas.openxmlformats.org/spreadsheetml/2006/main" count="148" uniqueCount="135">
  <si>
    <t>Dokumentation</t>
  </si>
  <si>
    <t>PL</t>
  </si>
  <si>
    <t>Forside</t>
  </si>
  <si>
    <t>Omkostningskategori</t>
  </si>
  <si>
    <t>PERSONALE</t>
  </si>
  <si>
    <t>Løn til plejepersonale</t>
  </si>
  <si>
    <t>Vikar - interne vikarer</t>
  </si>
  <si>
    <t>Vikar - Eksterne vikarbureau</t>
  </si>
  <si>
    <t>PERSONALERELATEREDE UDGIFTER</t>
  </si>
  <si>
    <t>Beklædning</t>
  </si>
  <si>
    <t>Ansvarsforsikring</t>
  </si>
  <si>
    <t>Arbejdsskadeforsikring</t>
  </si>
  <si>
    <t>Barselsudligning</t>
  </si>
  <si>
    <t>Uddannelse og kurser</t>
  </si>
  <si>
    <t>Kontorhold</t>
  </si>
  <si>
    <t>Møder og forplejning</t>
  </si>
  <si>
    <t>Hygiejneartikler / sygeplejeartikler</t>
  </si>
  <si>
    <t>Elever (alt efter organisering)</t>
  </si>
  <si>
    <t>LEDELSE &amp; ADMINISTRATION</t>
  </si>
  <si>
    <t>Diverse driftsmidler</t>
  </si>
  <si>
    <t>2021-PL</t>
  </si>
  <si>
    <t>2022-PL</t>
  </si>
  <si>
    <t>2023-PL</t>
  </si>
  <si>
    <t>År</t>
  </si>
  <si>
    <t>Kommune:</t>
  </si>
  <si>
    <t>Dato:</t>
  </si>
  <si>
    <t>PL år</t>
  </si>
  <si>
    <t xml:space="preserve">Diverse personalerelaterede goder </t>
  </si>
  <si>
    <t>DRIFTSMIDLER OG INVENTAR</t>
  </si>
  <si>
    <t>Inventar og specielt anskaffet udstyr</t>
  </si>
  <si>
    <t>MADSERVICE - KØKKEN OG RÅVARER</t>
  </si>
  <si>
    <t>Føde- og råvarer</t>
  </si>
  <si>
    <t>INDTÆGTER EGENBETALING - rengøringsartikler</t>
  </si>
  <si>
    <t>INDTÆGTER EGENBETALING - toiletartikler</t>
  </si>
  <si>
    <t>Samlet</t>
  </si>
  <si>
    <t>2024-PL</t>
  </si>
  <si>
    <t>Afsæt for beregning</t>
  </si>
  <si>
    <t>Løn til personale der ydelser sygepleje</t>
  </si>
  <si>
    <t>Løn til personale forbeholdt Madserivce</t>
  </si>
  <si>
    <t>SERVICEPAKKER / INDTÆGTER</t>
  </si>
  <si>
    <t>INDTÆGTER - EGENBETALING FOR MADSERVICE</t>
  </si>
  <si>
    <t>2025-PL</t>
  </si>
  <si>
    <t>2026-PL</t>
  </si>
  <si>
    <t>2028-PL</t>
  </si>
  <si>
    <t>2027-PL</t>
  </si>
  <si>
    <t>2029-PL</t>
  </si>
  <si>
    <t>2030-PL</t>
  </si>
  <si>
    <t>Løn til personale der ydelser træningsydelser</t>
  </si>
  <si>
    <t>PL-indeks</t>
  </si>
  <si>
    <t>Beregnet af BDO</t>
  </si>
  <si>
    <t>2021-2022</t>
  </si>
  <si>
    <t>2022-2023</t>
  </si>
  <si>
    <t>2023-2024</t>
  </si>
  <si>
    <t>2024-2025</t>
  </si>
  <si>
    <t>2025-2026</t>
  </si>
  <si>
    <t>2026-2027</t>
  </si>
  <si>
    <t>2027-2028</t>
  </si>
  <si>
    <t>2028-2029</t>
  </si>
  <si>
    <t>2029-2030</t>
  </si>
  <si>
    <t>Kilde: Historisk PL - https://www.kl.dk/oekonomi-og-administration/oekonomi-og-styring/kommunal-oekonomi-a-z#pris-og-loenskoen-til-brug-for-budgetlaegningen-f5</t>
  </si>
  <si>
    <t>Beløb, kr.</t>
  </si>
  <si>
    <t>Samlede udfyldte omkostninger</t>
  </si>
  <si>
    <t>Takst, pr. døgn</t>
  </si>
  <si>
    <t>Gennemsnitlig belægningsgrad</t>
  </si>
  <si>
    <t>Indtægter</t>
  </si>
  <si>
    <t>Balance</t>
  </si>
  <si>
    <t>Takstår</t>
  </si>
  <si>
    <t>Økonomisk beregning</t>
  </si>
  <si>
    <t>Type 1</t>
  </si>
  <si>
    <t>Type 2</t>
  </si>
  <si>
    <t>Type 3</t>
  </si>
  <si>
    <t>Antal boliger / forløbsdøgn</t>
  </si>
  <si>
    <t>Minimumsbelægningsgrad for overskud</t>
  </si>
  <si>
    <t>Tillidsrepræsentant</t>
  </si>
  <si>
    <t>BUDGERSKABELON FOR OMKOSTNINGER TIL LOKALPLEJEHJEM</t>
  </si>
  <si>
    <t>Andel af budget, %</t>
  </si>
  <si>
    <t>Bemærkning og forudsætninger</t>
  </si>
  <si>
    <t>Refusioner</t>
  </si>
  <si>
    <t>Aktivitetsmidler</t>
  </si>
  <si>
    <t>Varekøb m.m.</t>
  </si>
  <si>
    <t xml:space="preserve">Udgifter til servicepakker: </t>
  </si>
  <si>
    <t>Toiletartikler</t>
  </si>
  <si>
    <t>Rengøringsartikler</t>
  </si>
  <si>
    <t>Vask af linned og tøj</t>
  </si>
  <si>
    <t>Vinduespolering</t>
  </si>
  <si>
    <t>IT-udstyr, telefon- og dataabonnomenter</t>
  </si>
  <si>
    <t>Ledelse (direktør for lokalplejehjem)</t>
  </si>
  <si>
    <t>Vagtplanlægger</t>
  </si>
  <si>
    <t>Administration (på lokalplejehjem)</t>
  </si>
  <si>
    <t>Administration (køb af af administrative funktioner)</t>
  </si>
  <si>
    <t>EJENDOMSUDGIFTER (SERVICEAREALER)</t>
  </si>
  <si>
    <t>Husleje (Fx forrentning og afskrivning)</t>
  </si>
  <si>
    <t>Forsikringer (ejendomsforsikringer)</t>
  </si>
  <si>
    <t>Vedligeholdelse (udvendig vedligeholdelse)</t>
  </si>
  <si>
    <t>Vedligeholdelse (indvendig vedligeholdelse)</t>
  </si>
  <si>
    <t>Udenomsarealer - grønne områder og snerydning</t>
  </si>
  <si>
    <t>Rengøring af servicearealer</t>
  </si>
  <si>
    <t>Teknisk service</t>
  </si>
  <si>
    <t>Indboforsikring</t>
  </si>
  <si>
    <t>Forbrugsafgifter:</t>
  </si>
  <si>
    <t>Vand</t>
  </si>
  <si>
    <t>Varme</t>
  </si>
  <si>
    <t>Renovation</t>
  </si>
  <si>
    <t>Skatter og afgifter</t>
  </si>
  <si>
    <t>El</t>
  </si>
  <si>
    <t>OVERHEAD - LEDELSE &amp; ADMINISTRATION</t>
  </si>
  <si>
    <t>Drift af IT-systemer</t>
  </si>
  <si>
    <t>IT-systemer</t>
  </si>
  <si>
    <t>Økonomifunktioner og andre administrative opgaver</t>
  </si>
  <si>
    <t>Administrativ og juridisk bistand vedr. personalemæssige forhold (HR)</t>
  </si>
  <si>
    <t>Jura og compliance</t>
  </si>
  <si>
    <t>Omkostninger til ekstern rådgivning</t>
  </si>
  <si>
    <t>Honorar til bestyrelsesmedlemmer</t>
  </si>
  <si>
    <t>Revision</t>
  </si>
  <si>
    <t>MOMS</t>
  </si>
  <si>
    <t>Moms (estimeret moms andel)</t>
  </si>
  <si>
    <t>moms på salg</t>
  </si>
  <si>
    <t>INDTÆGTER EGENBETALING - vask af linned</t>
  </si>
  <si>
    <t>INDTÆGTER EGENBETALING - vinduespolering</t>
  </si>
  <si>
    <t>INDTÆGTER EGENBETALING - Tillægsydelser</t>
  </si>
  <si>
    <t>Budget</t>
  </si>
  <si>
    <t>Balance takst</t>
  </si>
  <si>
    <t>Kommunens beregnede takst til afregning af friplejehjem</t>
  </si>
  <si>
    <t>Lokalplejehjemmets takst</t>
  </si>
  <si>
    <t>Scenarie 1</t>
  </si>
  <si>
    <t>Scenarie 2</t>
  </si>
  <si>
    <t>Scenarie 3</t>
  </si>
  <si>
    <t>Scenarie 4</t>
  </si>
  <si>
    <t>Belægningsgrad</t>
  </si>
  <si>
    <t>Total økonomiske faktorer</t>
  </si>
  <si>
    <t>salg af ydelser til lokalplejehjemmet</t>
  </si>
  <si>
    <t>Total økonomi</t>
  </si>
  <si>
    <t>Indskud til etablering af aktieselskab</t>
  </si>
  <si>
    <t>Dobbelt omkostninger for overhead</t>
  </si>
  <si>
    <t>Serviceaftaler og drift af inventar, elevatorer, kaldeanlæg og brandanlæg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</si>
</sst>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(&quot;kr.&quot;* #,##0.00_);_(&quot;kr.&quot;* \(#,##0.00\);_(&quot;kr.&quot;* &quot;-&quot;??_);_(@_)"/>
    <numFmt numFmtId="165" formatCode="_(* #,##0.00_);_(* \(#,##0.00\);_(* &quot;-&quot;??_);_(@_)"/>
    <numFmt numFmtId="166" formatCode="&quot;kr.&quot;\ #,##0;[Red]&quot;kr.&quot;\ \-#,##0"/>
    <numFmt numFmtId="167" formatCode="&quot;$&quot;#,##0_);[Red]\(&quot;$&quot;#,##0\)"/>
    <numFmt numFmtId="168" formatCode="0.0"/>
    <numFmt numFmtId="169" formatCode="0.000"/>
    <numFmt numFmtId="170" formatCode="_-* #,##0.0_-;\-* #,##0.0_-;_-* &quot;-&quot;??_-;_-@_-"/>
    <numFmt numFmtId="171" formatCode="#,##0.00\ &quot;kr.&quot;"/>
    <numFmt numFmtId="172" formatCode="0.0%"/>
    <numFmt numFmtId="173" formatCode="#,##0\ &quot;kr.&quot;"/>
  </numFmts>
  <fonts count="37"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aj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0.34998626667073579"/>
      <name val="Calibri"/>
      <scheme val="minor"/>
    </font>
    <font>
      <b/>
      <sz val="14"/>
      <color theme="9" tint="-0.24994659260841701"/>
      <name val="Calibri"/>
      <family val="2"/>
      <scheme val="maj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(brødtekst)"/>
    </font>
    <font>
      <sz val="10"/>
      <name val="Arial (brødtekst)"/>
    </font>
    <font>
      <sz val="10"/>
      <name val="Trebuchet MS"/>
      <family val="2"/>
    </font>
    <font>
      <b/>
      <sz val="12"/>
      <color theme="1" tint="0.34998626667073579"/>
      <name val="Trebuchet MS"/>
      <family val="2"/>
    </font>
    <font>
      <b/>
      <sz val="10"/>
      <color theme="1" tint="0.34998626667073579"/>
      <name val="Trebuchet MS"/>
      <family val="2"/>
    </font>
    <font>
      <sz val="9"/>
      <color theme="1" tint="0.34998626667073579"/>
      <name val="Trebuchet MS"/>
      <family val="2"/>
    </font>
    <font>
      <b/>
      <sz val="14"/>
      <color theme="1" tint="0.34998626667073579"/>
      <name val="Trebuchet MS"/>
      <family val="2"/>
    </font>
    <font>
      <b/>
      <sz val="9"/>
      <color theme="1" tint="0.34998626667073579"/>
      <name val="Trebuchet MS"/>
      <family val="2"/>
    </font>
    <font>
      <b/>
      <sz val="11"/>
      <color theme="1" tint="0.34998626667073579"/>
      <name val="Calibri"/>
      <family val="2"/>
      <scheme val="major"/>
    </font>
    <font>
      <sz val="11"/>
      <name val="Arial"/>
      <family val="2"/>
    </font>
    <font>
      <b/>
      <sz val="14"/>
      <color theme="9" tint="-0.24994659260841701"/>
      <name val="Arial"/>
      <family val="2"/>
    </font>
    <font>
      <b/>
      <sz val="14"/>
      <color theme="1" tint="0.34998626667073579"/>
      <name val="Arial"/>
      <family val="2"/>
    </font>
    <font>
      <b/>
      <sz val="10"/>
      <name val="Arial"/>
      <family val="2"/>
    </font>
    <font>
      <sz val="12"/>
      <color theme="1" tint="0.34998626667073579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0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Protection="0">
      <alignment horizontal="left"/>
    </xf>
    <xf numFmtId="0" fontId="4" fillId="2" borderId="0" applyNumberFormat="0" applyProtection="0">
      <alignment horizontal="right" vertical="center"/>
    </xf>
    <xf numFmtId="0" fontId="4" fillId="2" borderId="0" applyNumberFormat="0" applyAlignment="0" applyProtection="0"/>
    <xf numFmtId="0" fontId="4" fillId="2" borderId="0" applyProtection="0">
      <alignment horizontal="center" vertical="center" wrapText="1"/>
    </xf>
    <xf numFmtId="167" fontId="3" fillId="3" borderId="1" applyProtection="0">
      <alignment vertical="center"/>
    </xf>
    <xf numFmtId="166" fontId="5" fillId="4" borderId="0" applyFont="0" applyAlignment="0">
      <alignment vertical="center"/>
    </xf>
    <xf numFmtId="166" fontId="5" fillId="0" borderId="0" applyFont="0" applyFill="0" applyBorder="0" applyAlignment="0">
      <alignment vertical="center" wrapText="1"/>
    </xf>
    <xf numFmtId="0" fontId="5" fillId="4" borderId="2" applyNumberFormat="0" applyFont="0" applyAlignment="0">
      <alignment vertical="center"/>
    </xf>
    <xf numFmtId="166" fontId="5" fillId="4" borderId="4" applyFont="0" applyFill="0" applyAlignment="0">
      <alignment vertical="center"/>
    </xf>
    <xf numFmtId="166" fontId="5" fillId="4" borderId="5" applyFont="0" applyFill="0" applyAlignment="0">
      <alignment vertical="center"/>
    </xf>
    <xf numFmtId="167" fontId="5" fillId="4" borderId="2" applyNumberFormat="0" applyFont="0" applyFill="0" applyAlignment="0">
      <alignment vertical="center"/>
    </xf>
    <xf numFmtId="166" fontId="5" fillId="4" borderId="3" applyFont="0" applyFill="0" applyAlignment="0">
      <alignment vertical="center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3" fillId="0" borderId="0"/>
    <xf numFmtId="165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3" fillId="0" borderId="0"/>
  </cellStyleXfs>
  <cellXfs count="97">
    <xf numFmtId="0" fontId="0" fillId="0" borderId="0" xfId="0">
      <alignment vertical="center"/>
    </xf>
    <xf numFmtId="166" fontId="7" fillId="5" borderId="0" xfId="7" applyFont="1" applyFill="1" applyBorder="1" applyAlignment="1">
      <alignment horizontal="center" vertical="center" wrapText="1"/>
    </xf>
    <xf numFmtId="49" fontId="9" fillId="5" borderId="0" xfId="0" applyNumberFormat="1" applyFont="1" applyFill="1" applyAlignment="1">
      <alignment horizontal="left" vertical="center" wrapText="1" indent="1"/>
    </xf>
    <xf numFmtId="49" fontId="7" fillId="5" borderId="0" xfId="7" applyNumberFormat="1" applyFont="1" applyFill="1" applyBorder="1" applyAlignment="1">
      <alignment horizontal="center" vertical="center" wrapText="1"/>
    </xf>
    <xf numFmtId="49" fontId="7" fillId="5" borderId="0" xfId="7" applyNumberFormat="1" applyFont="1" applyFill="1" applyBorder="1" applyAlignment="1">
      <alignment horizontal="center" vertical="center"/>
    </xf>
    <xf numFmtId="49" fontId="10" fillId="5" borderId="0" xfId="7" applyNumberFormat="1" applyFont="1" applyFill="1" applyBorder="1" applyAlignment="1">
      <alignment horizontal="left" vertical="center" wrapText="1" indent="1"/>
    </xf>
    <xf numFmtId="166" fontId="10" fillId="5" borderId="0" xfId="7" applyFont="1" applyFill="1" applyBorder="1" applyAlignment="1">
      <alignment horizontal="left" vertical="center" indent="1"/>
    </xf>
    <xf numFmtId="0" fontId="15" fillId="7" borderId="10" xfId="0" applyFont="1" applyFill="1" applyBorder="1" applyAlignment="1">
      <alignment wrapText="1"/>
    </xf>
    <xf numFmtId="0" fontId="11" fillId="0" borderId="0" xfId="0" applyFont="1" applyAlignment="1">
      <alignment horizontal="center" vertical="center"/>
    </xf>
    <xf numFmtId="166" fontId="18" fillId="5" borderId="0" xfId="9" applyFont="1" applyFill="1" applyBorder="1" applyAlignment="1">
      <alignment vertical="center"/>
    </xf>
    <xf numFmtId="166" fontId="21" fillId="5" borderId="0" xfId="9" applyFont="1" applyFill="1" applyBorder="1" applyAlignment="1">
      <alignment horizontal="center" vertical="center"/>
    </xf>
    <xf numFmtId="170" fontId="20" fillId="5" borderId="0" xfId="16" applyNumberFormat="1" applyFont="1" applyFill="1" applyBorder="1" applyAlignment="1">
      <alignment horizontal="center" vertical="center" wrapText="1"/>
    </xf>
    <xf numFmtId="169" fontId="20" fillId="5" borderId="0" xfId="14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20" fillId="5" borderId="7" xfId="16" applyNumberFormat="1" applyFont="1" applyFill="1" applyBorder="1" applyAlignment="1">
      <alignment horizontal="center" vertical="center" wrapText="1"/>
    </xf>
    <xf numFmtId="0" fontId="20" fillId="5" borderId="16" xfId="16" applyNumberFormat="1" applyFont="1" applyFill="1" applyBorder="1" applyAlignment="1">
      <alignment horizontal="center" vertical="center" wrapText="1"/>
    </xf>
    <xf numFmtId="170" fontId="20" fillId="5" borderId="16" xfId="16" applyNumberFormat="1" applyFont="1" applyFill="1" applyBorder="1" applyAlignment="1">
      <alignment horizontal="center" vertical="center" wrapText="1"/>
    </xf>
    <xf numFmtId="170" fontId="20" fillId="5" borderId="15" xfId="16" applyNumberFormat="1" applyFont="1" applyFill="1" applyBorder="1" applyAlignment="1">
      <alignment horizontal="center" vertical="center" wrapText="1"/>
    </xf>
    <xf numFmtId="166" fontId="19" fillId="8" borderId="9" xfId="9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23" fillId="8" borderId="16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169" fontId="20" fillId="5" borderId="8" xfId="14" applyNumberFormat="1" applyFont="1" applyFill="1" applyBorder="1" applyAlignment="1">
      <alignment horizontal="center" vertical="center" wrapText="1"/>
    </xf>
    <xf numFmtId="169" fontId="20" fillId="5" borderId="6" xfId="14" applyNumberFormat="1" applyFont="1" applyFill="1" applyBorder="1" applyAlignment="1">
      <alignment horizontal="center" vertical="center" wrapText="1"/>
    </xf>
    <xf numFmtId="169" fontId="20" fillId="5" borderId="12" xfId="14" applyNumberFormat="1" applyFont="1" applyFill="1" applyBorder="1" applyAlignment="1">
      <alignment horizontal="center" vertical="center" wrapText="1"/>
    </xf>
    <xf numFmtId="169" fontId="20" fillId="5" borderId="14" xfId="14" applyNumberFormat="1" applyFont="1" applyFill="1" applyBorder="1" applyAlignment="1">
      <alignment horizontal="center" vertical="center" wrapText="1"/>
    </xf>
    <xf numFmtId="49" fontId="20" fillId="5" borderId="17" xfId="7" applyNumberFormat="1" applyFont="1" applyFill="1" applyBorder="1" applyAlignment="1">
      <alignment horizontal="center" vertical="center" wrapText="1"/>
    </xf>
    <xf numFmtId="49" fontId="20" fillId="5" borderId="18" xfId="7" applyNumberFormat="1" applyFont="1" applyFill="1" applyBorder="1" applyAlignment="1">
      <alignment horizontal="center" vertical="center" wrapText="1"/>
    </xf>
    <xf numFmtId="49" fontId="20" fillId="5" borderId="19" xfId="7" applyNumberFormat="1" applyFont="1" applyFill="1" applyBorder="1" applyAlignment="1">
      <alignment horizontal="center" vertical="center" wrapText="1"/>
    </xf>
    <xf numFmtId="0" fontId="22" fillId="8" borderId="16" xfId="13" applyNumberFormat="1" applyFont="1" applyFill="1" applyBorder="1" applyAlignment="1">
      <alignment horizontal="center" vertical="center" wrapText="1"/>
    </xf>
    <xf numFmtId="168" fontId="22" fillId="8" borderId="7" xfId="7" applyNumberFormat="1" applyFont="1" applyFill="1" applyBorder="1" applyAlignment="1">
      <alignment horizontal="center" vertical="center" wrapText="1"/>
    </xf>
    <xf numFmtId="0" fontId="22" fillId="8" borderId="15" xfId="13" applyNumberFormat="1" applyFont="1" applyFill="1" applyBorder="1" applyAlignment="1">
      <alignment horizontal="center" vertical="center" wrapText="1"/>
    </xf>
    <xf numFmtId="0" fontId="22" fillId="8" borderId="7" xfId="13" applyNumberFormat="1" applyFont="1" applyFill="1" applyBorder="1" applyAlignment="1">
      <alignment horizontal="center" vertical="center" wrapText="1"/>
    </xf>
    <xf numFmtId="169" fontId="20" fillId="5" borderId="17" xfId="14" applyNumberFormat="1" applyFont="1" applyFill="1" applyBorder="1" applyAlignment="1">
      <alignment horizontal="center" vertical="center" wrapText="1"/>
    </xf>
    <xf numFmtId="169" fontId="20" fillId="5" borderId="18" xfId="14" applyNumberFormat="1" applyFont="1" applyFill="1" applyBorder="1" applyAlignment="1">
      <alignment horizontal="center" vertical="center" wrapText="1"/>
    </xf>
    <xf numFmtId="169" fontId="20" fillId="5" borderId="19" xfId="14" applyNumberFormat="1" applyFont="1" applyFill="1" applyBorder="1" applyAlignment="1">
      <alignment horizontal="center" vertical="center" wrapText="1"/>
    </xf>
    <xf numFmtId="169" fontId="20" fillId="9" borderId="9" xfId="14" applyNumberFormat="1" applyFont="1" applyFill="1" applyBorder="1" applyAlignment="1">
      <alignment horizontal="center" vertical="center" wrapText="1"/>
    </xf>
    <xf numFmtId="169" fontId="20" fillId="5" borderId="11" xfId="14" applyNumberFormat="1" applyFont="1" applyFill="1" applyBorder="1" applyAlignment="1">
      <alignment horizontal="center" vertical="center" wrapText="1"/>
    </xf>
    <xf numFmtId="169" fontId="20" fillId="5" borderId="13" xfId="14" applyNumberFormat="1" applyFont="1" applyFill="1" applyBorder="1" applyAlignment="1">
      <alignment horizontal="center" vertical="center" wrapText="1"/>
    </xf>
    <xf numFmtId="49" fontId="12" fillId="5" borderId="0" xfId="0" applyNumberFormat="1" applyFont="1" applyFill="1" applyAlignment="1">
      <alignment horizontal="left" vertical="center" indent="1"/>
    </xf>
    <xf numFmtId="0" fontId="0" fillId="3" borderId="0" xfId="0" applyFill="1">
      <alignment vertical="center"/>
    </xf>
    <xf numFmtId="166" fontId="6" fillId="3" borderId="0" xfId="9" applyFont="1" applyFill="1" applyBorder="1" applyAlignment="1">
      <alignment vertical="center"/>
    </xf>
    <xf numFmtId="166" fontId="8" fillId="3" borderId="0" xfId="9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166" fontId="6" fillId="3" borderId="0" xfId="9" applyFont="1" applyFill="1" applyBorder="1" applyAlignment="1">
      <alignment horizontal="center" vertical="center"/>
    </xf>
    <xf numFmtId="0" fontId="6" fillId="3" borderId="0" xfId="9" applyNumberFormat="1" applyFont="1" applyFill="1" applyBorder="1" applyAlignment="1">
      <alignment horizontal="center" vertical="center"/>
    </xf>
    <xf numFmtId="166" fontId="7" fillId="3" borderId="0" xfId="7" applyFont="1" applyFill="1" applyBorder="1" applyAlignment="1">
      <alignment horizontal="center" vertical="center" wrapText="1"/>
    </xf>
    <xf numFmtId="49" fontId="7" fillId="3" borderId="0" xfId="7" applyNumberFormat="1" applyFont="1" applyFill="1" applyBorder="1" applyAlignment="1">
      <alignment horizontal="center" vertical="center"/>
    </xf>
    <xf numFmtId="49" fontId="10" fillId="3" borderId="0" xfId="7" applyNumberFormat="1" applyFont="1" applyFill="1" applyBorder="1" applyAlignment="1">
      <alignment horizontal="left" vertical="center" wrapText="1" indent="1"/>
    </xf>
    <xf numFmtId="166" fontId="10" fillId="3" borderId="0" xfId="7" applyFont="1" applyFill="1" applyBorder="1" applyAlignment="1">
      <alignment horizontal="left" vertical="center" indent="1"/>
    </xf>
    <xf numFmtId="169" fontId="6" fillId="3" borderId="0" xfId="9" applyNumberFormat="1" applyFon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wrapText="1" indent="1"/>
    </xf>
    <xf numFmtId="49" fontId="7" fillId="3" borderId="0" xfId="7" applyNumberFormat="1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vertical="center" wrapText="1"/>
    </xf>
    <xf numFmtId="0" fontId="17" fillId="4" borderId="10" xfId="0" applyFont="1" applyFill="1" applyBorder="1" applyAlignment="1">
      <alignment vertical="center" wrapText="1"/>
    </xf>
    <xf numFmtId="0" fontId="17" fillId="4" borderId="10" xfId="0" applyFont="1" applyFill="1" applyBorder="1">
      <alignment vertical="center"/>
    </xf>
    <xf numFmtId="0" fontId="16" fillId="4" borderId="10" xfId="0" applyFont="1" applyFill="1" applyBorder="1" applyAlignment="1">
      <alignment horizontal="left" vertical="center" wrapText="1"/>
    </xf>
    <xf numFmtId="173" fontId="25" fillId="3" borderId="0" xfId="16" applyNumberFormat="1" applyFont="1" applyFill="1" applyAlignment="1">
      <alignment vertical="center"/>
    </xf>
    <xf numFmtId="173" fontId="26" fillId="3" borderId="0" xfId="16" applyNumberFormat="1" applyFont="1" applyFill="1" applyBorder="1" applyAlignment="1">
      <alignment horizontal="center" vertical="center"/>
    </xf>
    <xf numFmtId="173" fontId="27" fillId="7" borderId="10" xfId="16" applyNumberFormat="1" applyFont="1" applyFill="1" applyBorder="1" applyAlignment="1"/>
    <xf numFmtId="173" fontId="13" fillId="0" borderId="10" xfId="16" applyNumberFormat="1" applyFont="1" applyBorder="1" applyAlignment="1">
      <alignment vertical="center" wrapText="1"/>
    </xf>
    <xf numFmtId="173" fontId="13" fillId="0" borderId="10" xfId="16" applyNumberFormat="1" applyFont="1" applyBorder="1" applyAlignment="1">
      <alignment vertical="center"/>
    </xf>
    <xf numFmtId="173" fontId="28" fillId="3" borderId="0" xfId="16" applyNumberFormat="1" applyFont="1" applyFill="1" applyBorder="1" applyAlignment="1">
      <alignment horizontal="center" vertical="center"/>
    </xf>
    <xf numFmtId="0" fontId="24" fillId="3" borderId="0" xfId="0" applyFont="1" applyFill="1">
      <alignment vertical="center"/>
    </xf>
    <xf numFmtId="0" fontId="29" fillId="7" borderId="10" xfId="0" applyFont="1" applyFill="1" applyBorder="1" applyAlignment="1">
      <alignment horizontal="left" vertical="center" indent="1"/>
    </xf>
    <xf numFmtId="0" fontId="30" fillId="5" borderId="10" xfId="0" applyFont="1" applyFill="1" applyBorder="1" applyAlignment="1">
      <alignment horizontal="right" vertical="center" indent="1"/>
    </xf>
    <xf numFmtId="173" fontId="30" fillId="4" borderId="10" xfId="0" applyNumberFormat="1" applyFont="1" applyFill="1" applyBorder="1" applyAlignment="1">
      <alignment horizontal="right" vertical="center" indent="1"/>
    </xf>
    <xf numFmtId="0" fontId="31" fillId="3" borderId="0" xfId="0" applyFont="1" applyFill="1" applyAlignment="1">
      <alignment horizontal="left" vertical="center" wrapText="1" indent="1"/>
    </xf>
    <xf numFmtId="0" fontId="28" fillId="3" borderId="0" xfId="7" applyNumberFormat="1" applyFont="1" applyFill="1" applyBorder="1" applyAlignment="1">
      <alignment horizontal="center" vertical="center" wrapText="1"/>
    </xf>
    <xf numFmtId="171" fontId="24" fillId="3" borderId="0" xfId="0" applyNumberFormat="1" applyFont="1" applyFill="1">
      <alignment vertical="center"/>
    </xf>
    <xf numFmtId="0" fontId="32" fillId="3" borderId="0" xfId="0" applyFont="1" applyFill="1">
      <alignment vertical="center"/>
    </xf>
    <xf numFmtId="164" fontId="32" fillId="7" borderId="10" xfId="14" applyFont="1" applyFill="1" applyBorder="1" applyAlignment="1">
      <alignment vertical="center" wrapText="1"/>
    </xf>
    <xf numFmtId="1" fontId="32" fillId="4" borderId="10" xfId="7" applyNumberFormat="1" applyFont="1" applyFill="1" applyBorder="1" applyAlignment="1">
      <alignment horizontal="center" vertical="center" wrapText="1"/>
    </xf>
    <xf numFmtId="2" fontId="32" fillId="4" borderId="10" xfId="9" applyNumberFormat="1" applyFont="1" applyFill="1" applyBorder="1" applyAlignment="1">
      <alignment horizontal="center" vertical="center"/>
    </xf>
    <xf numFmtId="173" fontId="32" fillId="4" borderId="10" xfId="7" applyNumberFormat="1" applyFont="1" applyFill="1" applyBorder="1" applyAlignment="1">
      <alignment horizontal="center" vertical="center" wrapText="1"/>
    </xf>
    <xf numFmtId="173" fontId="32" fillId="5" borderId="10" xfId="7" applyNumberFormat="1" applyFont="1" applyFill="1" applyBorder="1" applyAlignment="1">
      <alignment horizontal="center" vertical="center" wrapText="1"/>
    </xf>
    <xf numFmtId="49" fontId="32" fillId="5" borderId="10" xfId="7" applyNumberFormat="1" applyFont="1" applyFill="1" applyBorder="1" applyAlignment="1">
      <alignment horizontal="center" vertical="center" wrapText="1"/>
    </xf>
    <xf numFmtId="9" fontId="32" fillId="5" borderId="10" xfId="13" applyFont="1" applyFill="1" applyBorder="1" applyAlignment="1">
      <alignment horizontal="center" vertical="center" wrapText="1"/>
    </xf>
    <xf numFmtId="1" fontId="32" fillId="5" borderId="10" xfId="7" applyNumberFormat="1" applyFont="1" applyFill="1" applyBorder="1" applyAlignment="1">
      <alignment horizontal="center" vertical="center" wrapText="1"/>
    </xf>
    <xf numFmtId="172" fontId="32" fillId="4" borderId="10" xfId="13" applyNumberFormat="1" applyFont="1" applyFill="1" applyBorder="1" applyAlignment="1">
      <alignment horizontal="center" vertical="center" wrapText="1"/>
    </xf>
    <xf numFmtId="164" fontId="33" fillId="7" borderId="10" xfId="14" applyFont="1" applyFill="1" applyBorder="1" applyAlignment="1">
      <alignment vertical="center" wrapText="1"/>
    </xf>
    <xf numFmtId="9" fontId="13" fillId="0" borderId="10" xfId="13" applyFont="1" applyBorder="1" applyAlignment="1">
      <alignment vertical="center" wrapText="1"/>
    </xf>
    <xf numFmtId="0" fontId="11" fillId="3" borderId="0" xfId="0" applyFont="1" applyFill="1" applyAlignment="1">
      <alignment horizontal="center" vertical="center"/>
    </xf>
    <xf numFmtId="0" fontId="16" fillId="4" borderId="10" xfId="0" applyFont="1" applyFill="1" applyBorder="1" applyAlignment="1">
      <alignment horizontal="left" vertical="center" wrapText="1" indent="3"/>
    </xf>
    <xf numFmtId="164" fontId="32" fillId="7" borderId="0" xfId="14" applyFont="1" applyFill="1" applyBorder="1" applyAlignment="1">
      <alignment vertical="center" wrapText="1"/>
    </xf>
    <xf numFmtId="173" fontId="32" fillId="4" borderId="0" xfId="7" applyNumberFormat="1" applyFont="1" applyFill="1" applyBorder="1" applyAlignment="1">
      <alignment horizontal="center" vertical="center" wrapText="1"/>
    </xf>
    <xf numFmtId="0" fontId="34" fillId="3" borderId="0" xfId="0" applyFont="1" applyFill="1" applyAlignment="1">
      <alignment vertical="center" wrapText="1"/>
    </xf>
    <xf numFmtId="164" fontId="34" fillId="7" borderId="10" xfId="14" applyFont="1" applyFill="1" applyBorder="1" applyAlignment="1">
      <alignment vertical="center" wrapText="1"/>
    </xf>
    <xf numFmtId="173" fontId="35" fillId="4" borderId="10" xfId="7" applyNumberFormat="1" applyFont="1" applyFill="1" applyBorder="1" applyAlignment="1">
      <alignment horizontal="center" vertical="center" wrapText="1"/>
    </xf>
    <xf numFmtId="173" fontId="36" fillId="4" borderId="10" xfId="7" applyNumberFormat="1" applyFont="1" applyFill="1" applyBorder="1" applyAlignment="1">
      <alignment horizontal="center" vertical="center" wrapText="1"/>
    </xf>
    <xf numFmtId="164" fontId="35" fillId="7" borderId="10" xfId="14" applyFont="1" applyFill="1" applyBorder="1" applyAlignment="1">
      <alignment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indent="11"/>
    </xf>
    <xf numFmtId="0" fontId="25" fillId="3" borderId="0" xfId="0" applyFont="1" applyFill="1" applyAlignment="1">
      <alignment horizontal="center" vertical="center"/>
    </xf>
    <xf numFmtId="1" fontId="32" fillId="5" borderId="20" xfId="7" applyNumberFormat="1" applyFont="1" applyFill="1" applyBorder="1" applyAlignment="1">
      <alignment horizontal="center" vertical="center" wrapText="1"/>
    </xf>
    <xf numFmtId="1" fontId="32" fillId="5" borderId="21" xfId="7" applyNumberFormat="1" applyFont="1" applyFill="1" applyBorder="1" applyAlignment="1">
      <alignment horizontal="center" vertical="center" wrapText="1"/>
    </xf>
    <xf numFmtId="1" fontId="32" fillId="5" borderId="22" xfId="7" applyNumberFormat="1" applyFont="1" applyFill="1" applyBorder="1" applyAlignment="1">
      <alignment horizontal="center" vertical="center" wrapText="1"/>
    </xf>
  </cellXfs>
  <cellStyles count="19">
    <cellStyle name="1000-sep (2 dec) 2 2" xfId="17" xr:uid="{32C196EF-3D51-4E6A-BD0E-10DA9FAFBDFA}"/>
    <cellStyle name="Beløb" xfId="7" xr:uid="{00000000-0005-0000-0000-000000000000}"/>
    <cellStyle name="Højre kant" xfId="12" xr:uid="{00000000-0005-0000-0000-000008000000}"/>
    <cellStyle name="Komma" xfId="16" builtinId="3"/>
    <cellStyle name="Nederste kant" xfId="9" xr:uid="{00000000-0005-0000-0000-000001000000}"/>
    <cellStyle name="Normal" xfId="0" builtinId="0" customBuiltin="1"/>
    <cellStyle name="Normal 2" xfId="15" xr:uid="{D02B3E51-87B3-4219-A51B-6F694E87D369}"/>
    <cellStyle name="Normal 5 2" xfId="18" xr:uid="{D382AED2-3DE9-478D-8253-474CF64AADFE}"/>
    <cellStyle name="Oversigtsbeløb" xfId="6" xr:uid="{00000000-0005-0000-0000-000009000000}"/>
    <cellStyle name="Oversigtstekst" xfId="8" xr:uid="{00000000-0005-0000-0000-00000A000000}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cent" xfId="13" builtinId="5"/>
    <cellStyle name="Titel" xfId="1" builtinId="15" customBuiltin="1"/>
    <cellStyle name="Valuta" xfId="14" builtinId="4"/>
    <cellStyle name="Venstre kant" xfId="11" xr:uid="{00000000-0005-0000-0000-000006000000}"/>
    <cellStyle name="Øverste kant" xfId="10" xr:uid="{00000000-0005-0000-0000-00000C000000}"/>
  </cellStyles>
  <dxfs count="7"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39994506668294322"/>
        </patternFill>
      </fill>
      <border>
        <left style="thin">
          <color theme="4" tint="-0.24994659260841701"/>
        </left>
        <right style="thin">
          <color theme="4" tint="-0.24994659260841701"/>
        </right>
        <top style="double">
          <color theme="4" tint="-0.24994659260841701"/>
        </top>
        <bottom style="thin">
          <color theme="4" tint="-0.24994659260841701"/>
        </bottom>
      </border>
    </dxf>
    <dxf>
      <font>
        <b/>
        <i val="0"/>
        <color theme="0"/>
      </font>
      <fill>
        <patternFill>
          <bgColor theme="4" tint="-0.499984740745262"/>
        </patternFill>
      </fill>
      <border>
        <bottom style="thin">
          <color theme="0"/>
        </bottom>
      </border>
    </dxf>
    <dxf>
      <border>
        <left style="thin">
          <color theme="4" tint="-0.24994659260841701"/>
        </left>
        <right style="thin">
          <color theme="4" tint="-0.24994659260841701"/>
        </right>
        <top style="thin">
          <color theme="4" tint="-0.24994659260841701"/>
        </top>
        <bottom style="thin">
          <color theme="4" tint="-0.24994659260841701"/>
        </bottom>
      </border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9" tint="0.79998168889431442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FaktiskMånedligIndtægt" pivot="0" count="3" xr9:uid="{00000000-0011-0000-FFFF-FFFF00000000}">
      <tableStyleElement type="wholeTable" dxfId="6"/>
      <tableStyleElement type="headerRow" dxfId="5"/>
      <tableStyleElement type="firstColumn" dxfId="4"/>
    </tableStyle>
    <tableStyle name="Månedligt familiebudget" pivot="0" count="4" xr9:uid="{00000000-0011-0000-FFFF-FFFF01000000}">
      <tableStyleElement type="wholeTable" dxfId="3"/>
      <tableStyleElement type="headerRow" dxfId="2"/>
      <tableStyleElement type="totalRow" dxfId="1"/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272318</xdr:colOff>
      <xdr:row>0</xdr:row>
      <xdr:rowOff>43133</xdr:rowOff>
    </xdr:from>
    <xdr:to>
      <xdr:col>1</xdr:col>
      <xdr:colOff>776655</xdr:colOff>
      <xdr:row>2</xdr:row>
      <xdr:rowOff>61420</xdr:rowOff>
    </xdr:to>
    <xdr:pic>
      <xdr:nvPicPr>
        <xdr:cNvPr id="2" name="Grafik 1" descr="Familie med to børn">
          <a:extLst>
            <a:ext uri="{FF2B5EF4-FFF2-40B4-BE49-F238E27FC236}">
              <a16:creationId xmlns:a16="http://schemas.microsoft.com/office/drawing/2014/main" id="{6C93FDFE-CD6F-499B-9D9F-3FE4B25FD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7568" y="43133"/>
          <a:ext cx="504337" cy="5040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9525</xdr:rowOff>
    </xdr:from>
    <xdr:to>
      <xdr:col>5</xdr:col>
      <xdr:colOff>904875</xdr:colOff>
      <xdr:row>20</xdr:row>
      <xdr:rowOff>180975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15DB631C-AE76-4231-B5A6-35A6A60D42B8}"/>
            </a:ext>
          </a:extLst>
        </xdr:cNvPr>
        <xdr:cNvSpPr txBox="1"/>
      </xdr:nvSpPr>
      <xdr:spPr>
        <a:xfrm>
          <a:off x="95250" y="1695450"/>
          <a:ext cx="6134100" cy="339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Hvilke plejehjem</a:t>
          </a:r>
          <a:r>
            <a:rPr lang="da-DK" sz="1100" baseline="0"/>
            <a:t> er beregningerne baseret på?</a:t>
          </a:r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53243</xdr:colOff>
      <xdr:row>0</xdr:row>
      <xdr:rowOff>71708</xdr:rowOff>
    </xdr:from>
    <xdr:to>
      <xdr:col>1</xdr:col>
      <xdr:colOff>557580</xdr:colOff>
      <xdr:row>2</xdr:row>
      <xdr:rowOff>89995</xdr:rowOff>
    </xdr:to>
    <xdr:pic>
      <xdr:nvPicPr>
        <xdr:cNvPr id="2" name="Grafik 1" descr="Familie med to børn">
          <a:extLst>
            <a:ext uri="{FF2B5EF4-FFF2-40B4-BE49-F238E27FC236}">
              <a16:creationId xmlns:a16="http://schemas.microsoft.com/office/drawing/2014/main" id="{0EDEED23-AD56-47F1-918A-BC9749863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8493" y="71708"/>
          <a:ext cx="504337" cy="50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7759-271C-4A19-9772-8FFB50225465}">
  <sheetPr>
    <tabColor theme="8" tint="0.59999389629810485"/>
  </sheetPr>
  <dimension ref="B2:H6"/>
  <sheetViews>
    <sheetView showGridLines="0" zoomScaleNormal="100" workbookViewId="0">
      <selection activeCell="B39" sqref="B39"/>
    </sheetView>
  </sheetViews>
  <sheetFormatPr defaultColWidth="9.140625" defaultRowHeight="20.100000000000001" customHeight="1"/>
  <cols>
    <col min="1" max="1" width="1.42578125" style="40" customWidth="1"/>
    <col min="2" max="2" width="60.7109375" style="51" customWidth="1"/>
    <col min="3" max="3" width="16.5703125" style="52" customWidth="1"/>
    <col min="4" max="4" width="18" style="46" bestFit="1" customWidth="1"/>
    <col min="5" max="5" width="16.7109375" style="47" bestFit="1" customWidth="1"/>
    <col min="6" max="6" width="15" style="48" bestFit="1" customWidth="1"/>
    <col min="7" max="7" width="15.85546875" style="48" bestFit="1" customWidth="1"/>
    <col min="8" max="8" width="13.5703125" style="49" customWidth="1"/>
    <col min="9" max="9" width="5.28515625" style="40" bestFit="1" customWidth="1"/>
    <col min="10" max="10" width="18" style="40" customWidth="1"/>
    <col min="11" max="16384" width="9.140625" style="40"/>
  </cols>
  <sheetData>
    <row r="2" spans="2:6" ht="18.75">
      <c r="B2" s="92" t="s">
        <v>2</v>
      </c>
      <c r="C2" s="92"/>
      <c r="D2" s="92"/>
      <c r="E2" s="92"/>
      <c r="F2" s="92"/>
    </row>
    <row r="3" spans="2:6" ht="21" customHeight="1">
      <c r="B3" s="41"/>
      <c r="C3" s="42"/>
      <c r="D3" s="42"/>
      <c r="E3" s="42"/>
      <c r="F3" s="43"/>
    </row>
    <row r="5" spans="2:6" ht="20.100000000000001" customHeight="1">
      <c r="B5" s="44" t="s">
        <v>24</v>
      </c>
      <c r="C5" s="45"/>
    </row>
    <row r="6" spans="2:6" ht="20.100000000000001" customHeight="1">
      <c r="B6" s="44" t="s">
        <v>25</v>
      </c>
      <c r="C6" s="50"/>
    </row>
  </sheetData>
  <mergeCells count="1">
    <mergeCell ref="B2:F2"/>
  </mergeCells>
  <printOptions horizontalCentered="1"/>
  <pageMargins left="0.25" right="0.25" top="0.5" bottom="0.5" header="0.5" footer="0.5"/>
  <pageSetup paperSize="9" scale="60" orientation="portrait" r:id="rId1"/>
  <headerFooter differentFirst="1" alignWithMargins="0"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9437-683D-41C0-BD43-EFAA9DF63337}">
  <sheetPr>
    <tabColor theme="9" tint="0.59999389629810485"/>
  </sheetPr>
  <dimension ref="B2:H82"/>
  <sheetViews>
    <sheetView showGridLines="0" tabSelected="1" topLeftCell="A58" zoomScaleNormal="100" workbookViewId="0">
      <selection activeCell="B43" sqref="B43"/>
    </sheetView>
  </sheetViews>
  <sheetFormatPr defaultColWidth="9.140625" defaultRowHeight="20.100000000000001" customHeight="1"/>
  <cols>
    <col min="1" max="1" width="1.42578125" style="40" customWidth="1"/>
    <col min="2" max="2" width="52.140625" style="51" customWidth="1"/>
    <col min="3" max="3" width="51.7109375" style="51" customWidth="1"/>
    <col min="4" max="4" width="26.85546875" style="62" customWidth="1"/>
    <col min="5" max="5" width="24.85546875" style="62" customWidth="1"/>
    <col min="6" max="6" width="6.140625" style="48" customWidth="1"/>
    <col min="7" max="7" width="35" style="48" bestFit="1" customWidth="1"/>
    <col min="8" max="8" width="18.85546875" style="49" bestFit="1" customWidth="1"/>
    <col min="9" max="9" width="5.28515625" style="40" bestFit="1" customWidth="1"/>
    <col min="10" max="10" width="18" style="40" customWidth="1"/>
    <col min="11" max="16384" width="9.140625" style="40"/>
  </cols>
  <sheetData>
    <row r="2" spans="2:8" ht="18.75">
      <c r="B2" s="82" t="s">
        <v>74</v>
      </c>
      <c r="C2" s="82"/>
      <c r="D2" s="57"/>
      <c r="E2" s="57"/>
      <c r="F2" s="40"/>
      <c r="G2" s="63"/>
      <c r="H2" s="63"/>
    </row>
    <row r="3" spans="2:8" ht="21" customHeight="1">
      <c r="B3" s="41"/>
      <c r="C3" s="41"/>
      <c r="D3" s="58"/>
      <c r="E3" s="58"/>
      <c r="F3" s="40"/>
      <c r="G3" s="63"/>
      <c r="H3" s="63"/>
    </row>
    <row r="4" spans="2:8" ht="15.75">
      <c r="B4" s="7" t="s">
        <v>3</v>
      </c>
      <c r="C4" s="7" t="s">
        <v>76</v>
      </c>
      <c r="D4" s="59" t="s">
        <v>60</v>
      </c>
      <c r="E4" s="59" t="s">
        <v>75</v>
      </c>
      <c r="F4" s="40"/>
    </row>
    <row r="5" spans="2:8" ht="30" customHeight="1">
      <c r="B5" s="91" t="s">
        <v>4</v>
      </c>
      <c r="C5" s="91"/>
      <c r="D5" s="91"/>
      <c r="E5" s="91"/>
      <c r="F5" s="40"/>
      <c r="G5" s="64" t="s">
        <v>61</v>
      </c>
      <c r="H5" s="66">
        <f>SUM(D:D)</f>
        <v>30673717.059999999</v>
      </c>
    </row>
    <row r="6" spans="2:8" ht="15.75">
      <c r="B6" s="53" t="s">
        <v>5</v>
      </c>
      <c r="C6" s="53"/>
      <c r="D6" s="60">
        <v>18000000</v>
      </c>
      <c r="E6" s="81">
        <f>D6/SUM($D:$D)</f>
        <v>0.58682160902738667</v>
      </c>
      <c r="G6" s="64" t="s">
        <v>36</v>
      </c>
      <c r="H6" s="65" t="s">
        <v>120</v>
      </c>
    </row>
    <row r="7" spans="2:8" ht="15.75">
      <c r="B7" s="53" t="s">
        <v>6</v>
      </c>
      <c r="C7" s="53"/>
      <c r="D7" s="60">
        <v>5000</v>
      </c>
      <c r="E7" s="81">
        <f>D7/SUM($D:$D)</f>
        <v>1.6300600250760742E-4</v>
      </c>
      <c r="G7" s="64" t="s">
        <v>23</v>
      </c>
      <c r="H7" s="65">
        <v>2026</v>
      </c>
    </row>
    <row r="8" spans="2:8" ht="15.75">
      <c r="B8" s="53" t="s">
        <v>7</v>
      </c>
      <c r="C8" s="53"/>
      <c r="D8" s="60">
        <v>800000</v>
      </c>
      <c r="E8" s="81">
        <f>D8/SUM($D:$D)</f>
        <v>2.6080960401217185E-2</v>
      </c>
    </row>
    <row r="9" spans="2:8" ht="15.75">
      <c r="B9" s="53" t="s">
        <v>37</v>
      </c>
      <c r="C9" s="53"/>
      <c r="D9" s="60">
        <v>380000</v>
      </c>
      <c r="E9" s="81">
        <f>D9/SUM($D:$D)</f>
        <v>1.2388456190578163E-2</v>
      </c>
    </row>
    <row r="10" spans="2:8" ht="15.75">
      <c r="B10" s="53" t="s">
        <v>38</v>
      </c>
      <c r="C10" s="53"/>
      <c r="D10" s="60">
        <v>3300000</v>
      </c>
      <c r="E10" s="81">
        <f>D10/SUM($D:$D)</f>
        <v>0.10758396165502089</v>
      </c>
    </row>
    <row r="11" spans="2:8" ht="15.75">
      <c r="B11" s="53" t="s">
        <v>47</v>
      </c>
      <c r="C11" s="53"/>
      <c r="D11" s="60">
        <v>50000</v>
      </c>
      <c r="E11" s="81">
        <f>D11/SUM($D:$D)</f>
        <v>1.630060025076074E-3</v>
      </c>
    </row>
    <row r="12" spans="2:8" ht="15.75">
      <c r="B12" s="53" t="s">
        <v>73</v>
      </c>
      <c r="C12" s="53"/>
      <c r="D12" s="60">
        <v>150000</v>
      </c>
      <c r="E12" s="81">
        <f>D13/SUM($D:$D)</f>
        <v>0</v>
      </c>
    </row>
    <row r="13" spans="2:8" ht="15.75">
      <c r="B13" s="53" t="s">
        <v>17</v>
      </c>
      <c r="C13" s="53"/>
      <c r="D13" s="60"/>
      <c r="E13" s="81">
        <f>D14/SUM($D:$D)</f>
        <v>-8.1503001253803702E-3</v>
      </c>
    </row>
    <row r="14" spans="2:8" ht="15.75">
      <c r="B14" s="53" t="s">
        <v>77</v>
      </c>
      <c r="C14" s="53"/>
      <c r="D14" s="60">
        <v>-250000</v>
      </c>
      <c r="E14" s="81">
        <f>D15/SUM($D:$D)</f>
        <v>0</v>
      </c>
    </row>
    <row r="15" spans="2:8" ht="15.75">
      <c r="B15" s="91" t="s">
        <v>8</v>
      </c>
      <c r="C15" s="91"/>
      <c r="D15" s="91"/>
      <c r="E15" s="91"/>
    </row>
    <row r="16" spans="2:8" ht="15.75">
      <c r="B16" s="53" t="s">
        <v>9</v>
      </c>
      <c r="C16" s="53"/>
      <c r="D16" s="60">
        <v>50000</v>
      </c>
      <c r="E16" s="81">
        <f>D16/SUM($D:$D)</f>
        <v>1.630060025076074E-3</v>
      </c>
    </row>
    <row r="17" spans="2:5" ht="15.75">
      <c r="B17" s="53" t="s">
        <v>27</v>
      </c>
      <c r="C17" s="53"/>
      <c r="D17" s="60">
        <v>273000</v>
      </c>
      <c r="E17" s="81">
        <f>D17/SUM($D:$D)</f>
        <v>8.9001277369153645E-3</v>
      </c>
    </row>
    <row r="18" spans="2:5" ht="15.75">
      <c r="B18" s="53" t="s">
        <v>10</v>
      </c>
      <c r="C18" s="53"/>
      <c r="D18" s="60">
        <v>105878</v>
      </c>
      <c r="E18" s="81">
        <f>D18/SUM($D:$D)</f>
        <v>3.4517499067000914E-3</v>
      </c>
    </row>
    <row r="19" spans="2:5" ht="15.75">
      <c r="B19" s="53" t="s">
        <v>12</v>
      </c>
      <c r="C19" s="53"/>
      <c r="D19" s="60">
        <v>319181</v>
      </c>
      <c r="E19" s="81">
        <f>D19/SUM($D:$D)</f>
        <v>1.0405683777276128E-2</v>
      </c>
    </row>
    <row r="20" spans="2:5" ht="15.75">
      <c r="B20" s="53" t="s">
        <v>11</v>
      </c>
      <c r="C20" s="53"/>
      <c r="D20" s="60">
        <v>318798</v>
      </c>
      <c r="E20" s="81">
        <f>D20/SUM($D:$D)</f>
        <v>1.0393197517484045E-2</v>
      </c>
    </row>
    <row r="21" spans="2:5" ht="15.75">
      <c r="B21" s="53" t="s">
        <v>13</v>
      </c>
      <c r="C21" s="53"/>
      <c r="D21" s="60">
        <v>100</v>
      </c>
      <c r="E21" s="81">
        <f>D21/SUM($D:$D)</f>
        <v>3.2601200501521483E-6</v>
      </c>
    </row>
    <row r="22" spans="2:5" ht="15.75">
      <c r="B22" s="53"/>
      <c r="C22" s="53"/>
      <c r="D22" s="60"/>
      <c r="E22" s="81">
        <f>D22/SUM($D:$D)</f>
        <v>0</v>
      </c>
    </row>
    <row r="23" spans="2:5" ht="15.75">
      <c r="B23" s="91" t="s">
        <v>28</v>
      </c>
      <c r="C23" s="91"/>
      <c r="D23" s="91"/>
      <c r="E23" s="91"/>
    </row>
    <row r="24" spans="2:5" ht="15.75">
      <c r="B24" s="53" t="s">
        <v>14</v>
      </c>
      <c r="C24" s="53"/>
      <c r="D24" s="60">
        <v>123456</v>
      </c>
      <c r="E24" s="81">
        <f>D24/SUM($D:$D)</f>
        <v>4.0248138091158363E-3</v>
      </c>
    </row>
    <row r="25" spans="2:5" ht="15.75">
      <c r="B25" s="53" t="s">
        <v>85</v>
      </c>
      <c r="C25" s="53"/>
      <c r="D25" s="60">
        <v>256789</v>
      </c>
      <c r="E25" s="81">
        <f>D25/SUM($D:$D)</f>
        <v>8.3716296755851991E-3</v>
      </c>
    </row>
    <row r="26" spans="2:5" ht="15.75">
      <c r="B26" s="53" t="s">
        <v>15</v>
      </c>
      <c r="C26" s="53"/>
      <c r="D26" s="60">
        <v>25000</v>
      </c>
      <c r="E26" s="81">
        <f>D26/SUM($D:$D)</f>
        <v>8.1503001253803702E-4</v>
      </c>
    </row>
    <row r="27" spans="2:5" ht="15.75">
      <c r="B27" s="53" t="s">
        <v>78</v>
      </c>
      <c r="C27" s="53"/>
      <c r="D27" s="60">
        <v>35000</v>
      </c>
      <c r="E27" s="81">
        <f>D27/SUM($D:$D)</f>
        <v>1.1410420175532519E-3</v>
      </c>
    </row>
    <row r="28" spans="2:5" ht="15.75">
      <c r="B28" s="53" t="s">
        <v>29</v>
      </c>
      <c r="C28" s="53"/>
      <c r="D28" s="60">
        <v>75000</v>
      </c>
      <c r="E28" s="81">
        <f>D28/SUM($D:$D)</f>
        <v>2.4450900376141111E-3</v>
      </c>
    </row>
    <row r="29" spans="2:5" ht="15.75">
      <c r="B29" s="53" t="s">
        <v>16</v>
      </c>
      <c r="C29" s="53"/>
      <c r="D29" s="60">
        <v>82000</v>
      </c>
      <c r="E29" s="81">
        <f>D29/SUM($D:$D)</f>
        <v>2.6732984411247615E-3</v>
      </c>
    </row>
    <row r="30" spans="2:5" ht="15.75">
      <c r="B30" s="53"/>
      <c r="C30" s="53"/>
      <c r="D30" s="60"/>
      <c r="E30" s="81">
        <f>D30/SUM($D:$D)</f>
        <v>0</v>
      </c>
    </row>
    <row r="31" spans="2:5" ht="15.75">
      <c r="B31" s="91" t="s">
        <v>30</v>
      </c>
      <c r="C31" s="91"/>
      <c r="D31" s="91"/>
      <c r="E31" s="91"/>
    </row>
    <row r="32" spans="2:5" ht="15.75">
      <c r="B32" s="53" t="s">
        <v>31</v>
      </c>
      <c r="C32" s="53"/>
      <c r="D32" s="60">
        <v>1600000</v>
      </c>
      <c r="E32" s="81">
        <f>D32/SUM($D:$D)</f>
        <v>5.2161920802434369E-2</v>
      </c>
    </row>
    <row r="33" spans="2:5" ht="15.75">
      <c r="B33" s="53" t="s">
        <v>79</v>
      </c>
      <c r="C33" s="53"/>
      <c r="D33" s="60">
        <v>200000</v>
      </c>
      <c r="E33" s="81">
        <f>D33/SUM($D:$D)</f>
        <v>6.5202401003042962E-3</v>
      </c>
    </row>
    <row r="34" spans="2:5" ht="15.75">
      <c r="B34" s="55" t="s">
        <v>19</v>
      </c>
      <c r="C34" s="53"/>
      <c r="D34" s="60">
        <v>72000</v>
      </c>
      <c r="E34" s="81">
        <f>D34/SUM($D:$D)</f>
        <v>2.3472864361095466E-3</v>
      </c>
    </row>
    <row r="35" spans="2:5" ht="15.75">
      <c r="B35" s="53" t="s">
        <v>80</v>
      </c>
      <c r="C35" s="54"/>
      <c r="D35" s="60"/>
      <c r="E35" s="81">
        <f>D35/SUM($D:$D)</f>
        <v>0</v>
      </c>
    </row>
    <row r="36" spans="2:5" ht="15.75">
      <c r="B36" s="83" t="s">
        <v>81</v>
      </c>
      <c r="C36" s="54"/>
      <c r="D36" s="60"/>
      <c r="E36" s="81">
        <f>D36/SUM($D:$D)</f>
        <v>0</v>
      </c>
    </row>
    <row r="37" spans="2:5" ht="15.75">
      <c r="B37" s="83" t="s">
        <v>82</v>
      </c>
      <c r="C37" s="54"/>
      <c r="D37" s="60"/>
      <c r="E37" s="81">
        <f>D37/SUM($D:$D)</f>
        <v>0</v>
      </c>
    </row>
    <row r="38" spans="2:5" ht="15.75">
      <c r="B38" s="83" t="s">
        <v>83</v>
      </c>
      <c r="C38" s="54"/>
      <c r="D38" s="60"/>
      <c r="E38" s="81">
        <f>D38/SUM($D:$D)</f>
        <v>0</v>
      </c>
    </row>
    <row r="39" spans="2:5" ht="15.75">
      <c r="B39" s="83" t="s">
        <v>84</v>
      </c>
      <c r="C39" s="54"/>
      <c r="D39" s="60"/>
      <c r="E39" s="81">
        <f>D39/SUM($D:$D)</f>
        <v>0</v>
      </c>
    </row>
    <row r="40" spans="2:5" ht="15.75">
      <c r="B40" s="54"/>
      <c r="C40" s="54"/>
      <c r="D40" s="60"/>
      <c r="E40" s="81">
        <f>D40/SUM($D:$D)</f>
        <v>0</v>
      </c>
    </row>
    <row r="41" spans="2:5" ht="15.75">
      <c r="B41" s="91" t="s">
        <v>18</v>
      </c>
      <c r="C41" s="91"/>
      <c r="D41" s="91"/>
      <c r="E41" s="91"/>
    </row>
    <row r="42" spans="2:5" ht="15.75">
      <c r="B42" s="53" t="s">
        <v>86</v>
      </c>
      <c r="C42" s="53"/>
      <c r="D42" s="60">
        <v>753429</v>
      </c>
      <c r="E42" s="81">
        <f>D42/SUM($D:$D)</f>
        <v>2.4562689892660829E-2</v>
      </c>
    </row>
    <row r="43" spans="2:5" ht="15.75">
      <c r="B43" s="53" t="s">
        <v>87</v>
      </c>
      <c r="C43" s="53"/>
      <c r="D43" s="60">
        <v>159261</v>
      </c>
      <c r="E43" s="81">
        <f>D43/SUM($D:$D)</f>
        <v>5.1920997930728126E-3</v>
      </c>
    </row>
    <row r="44" spans="2:5" ht="15.75">
      <c r="B44" s="53" t="s">
        <v>88</v>
      </c>
      <c r="C44" s="53"/>
      <c r="D44" s="60">
        <v>369000</v>
      </c>
      <c r="E44" s="81">
        <f>D44/SUM($D:$D)</f>
        <v>1.2029842985061427E-2</v>
      </c>
    </row>
    <row r="45" spans="2:5" ht="15.75">
      <c r="B45" s="53" t="s">
        <v>89</v>
      </c>
      <c r="C45" s="53"/>
      <c r="D45" s="60">
        <v>172000</v>
      </c>
      <c r="E45" s="81">
        <f>D45/SUM($D:$D)</f>
        <v>5.6074064862616946E-3</v>
      </c>
    </row>
    <row r="46" spans="2:5" ht="15.75">
      <c r="B46" s="53"/>
      <c r="C46" s="53"/>
      <c r="D46" s="60"/>
      <c r="E46" s="81">
        <f>D46/SUM($D:$D)</f>
        <v>0</v>
      </c>
    </row>
    <row r="47" spans="2:5" ht="15.75">
      <c r="B47" s="91" t="s">
        <v>90</v>
      </c>
      <c r="C47" s="91"/>
      <c r="D47" s="91"/>
      <c r="E47" s="91"/>
    </row>
    <row r="48" spans="2:5" ht="15.75">
      <c r="B48" s="53" t="s">
        <v>91</v>
      </c>
      <c r="C48" s="53"/>
      <c r="D48" s="60">
        <v>963852</v>
      </c>
      <c r="E48" s="81">
        <f>D48/SUM($D:$D)</f>
        <v>3.1422732305792483E-2</v>
      </c>
    </row>
    <row r="49" spans="2:5" ht="15.75">
      <c r="B49" s="56" t="s">
        <v>92</v>
      </c>
      <c r="C49" s="56"/>
      <c r="D49" s="60">
        <v>741852</v>
      </c>
      <c r="E49" s="81">
        <f>D49/SUM($D:$D)</f>
        <v>2.4185265794454715E-2</v>
      </c>
    </row>
    <row r="50" spans="2:5" ht="18" customHeight="1">
      <c r="B50" s="53" t="s">
        <v>93</v>
      </c>
      <c r="C50" s="53"/>
      <c r="D50" s="60">
        <v>150000</v>
      </c>
      <c r="E50" s="81">
        <f>D50/SUM($D:$D)</f>
        <v>4.8901800752282221E-3</v>
      </c>
    </row>
    <row r="51" spans="2:5" ht="15.75">
      <c r="B51" s="53" t="s">
        <v>94</v>
      </c>
      <c r="C51" s="53"/>
      <c r="D51" s="60">
        <v>15000</v>
      </c>
      <c r="E51" s="81">
        <f>D51/SUM($D:$D)</f>
        <v>4.8901800752282224E-4</v>
      </c>
    </row>
    <row r="52" spans="2:5" ht="25.5" customHeight="1">
      <c r="B52" s="53" t="s">
        <v>134</v>
      </c>
      <c r="C52" s="53"/>
      <c r="D52" s="60">
        <v>42000</v>
      </c>
      <c r="E52" s="81">
        <f>D52/SUM($D:$D)</f>
        <v>1.3692504210639023E-3</v>
      </c>
    </row>
    <row r="53" spans="2:5" ht="15.75">
      <c r="B53" s="53" t="s">
        <v>95</v>
      </c>
      <c r="C53" s="53"/>
      <c r="D53" s="60">
        <v>65000</v>
      </c>
      <c r="E53" s="81">
        <f>D53/SUM($D:$D)</f>
        <v>2.1190780325988962E-3</v>
      </c>
    </row>
    <row r="54" spans="2:5" ht="15.75">
      <c r="B54" s="53" t="s">
        <v>96</v>
      </c>
      <c r="C54" s="53"/>
      <c r="D54" s="60">
        <v>58000</v>
      </c>
      <c r="E54" s="81">
        <f>D54/SUM($D:$D)</f>
        <v>1.890869629088246E-3</v>
      </c>
    </row>
    <row r="55" spans="2:5" ht="15.75">
      <c r="B55" s="53" t="s">
        <v>97</v>
      </c>
      <c r="C55" s="53"/>
      <c r="D55" s="60">
        <v>135000</v>
      </c>
      <c r="E55" s="81">
        <f>D55/SUM($D:$D)</f>
        <v>4.4011620677054004E-3</v>
      </c>
    </row>
    <row r="56" spans="2:5" ht="15.75">
      <c r="B56" s="53" t="s">
        <v>98</v>
      </c>
      <c r="C56" s="53"/>
      <c r="D56" s="60">
        <v>16500</v>
      </c>
      <c r="E56" s="81">
        <f>D56/SUM($D:$D)</f>
        <v>5.3791980827510449E-4</v>
      </c>
    </row>
    <row r="57" spans="2:5" ht="15.75">
      <c r="B57" s="53" t="s">
        <v>99</v>
      </c>
      <c r="C57" s="53"/>
      <c r="D57" s="60"/>
      <c r="E57" s="81">
        <f>D57/SUM($D:$D)</f>
        <v>0</v>
      </c>
    </row>
    <row r="58" spans="2:5" ht="15.75">
      <c r="B58" s="83" t="s">
        <v>104</v>
      </c>
      <c r="C58" s="53"/>
      <c r="D58" s="60">
        <v>60000</v>
      </c>
      <c r="E58" s="81">
        <f>D58/SUM($D:$D)</f>
        <v>1.9560720300912889E-3</v>
      </c>
    </row>
    <row r="59" spans="2:5" ht="15.75">
      <c r="B59" s="83" t="s">
        <v>100</v>
      </c>
      <c r="C59" s="53"/>
      <c r="D59" s="60">
        <v>60000</v>
      </c>
      <c r="E59" s="81">
        <f>D59/SUM($D:$D)</f>
        <v>1.9560720300912889E-3</v>
      </c>
    </row>
    <row r="60" spans="2:5" ht="15.75">
      <c r="B60" s="83" t="s">
        <v>101</v>
      </c>
      <c r="C60" s="53"/>
      <c r="D60" s="60">
        <v>60000</v>
      </c>
      <c r="E60" s="81">
        <f>D60/SUM($D:$D)</f>
        <v>1.9560720300912889E-3</v>
      </c>
    </row>
    <row r="61" spans="2:5" ht="15.75">
      <c r="B61" s="83" t="s">
        <v>102</v>
      </c>
      <c r="C61" s="53"/>
      <c r="D61" s="60">
        <v>2500</v>
      </c>
      <c r="E61" s="81">
        <f>D61/SUM($D:$D)</f>
        <v>8.150300125380371E-5</v>
      </c>
    </row>
    <row r="62" spans="2:5" ht="15.75">
      <c r="B62" s="83" t="s">
        <v>103</v>
      </c>
      <c r="C62" s="54"/>
      <c r="D62" s="60">
        <v>2500</v>
      </c>
      <c r="E62" s="81">
        <f>D62/SUM($D:$D)</f>
        <v>8.150300125380371E-5</v>
      </c>
    </row>
    <row r="63" spans="2:5" ht="19.5" customHeight="1">
      <c r="B63" s="91" t="s">
        <v>105</v>
      </c>
      <c r="C63" s="91"/>
      <c r="D63" s="91"/>
      <c r="E63" s="91"/>
    </row>
    <row r="64" spans="2:5" ht="23.25" customHeight="1">
      <c r="B64" s="53" t="s">
        <v>106</v>
      </c>
      <c r="C64" s="53"/>
      <c r="D64" s="60">
        <v>147369</v>
      </c>
      <c r="E64" s="81">
        <f>D64/SUM($D:$D)</f>
        <v>4.8044063167087189E-3</v>
      </c>
    </row>
    <row r="65" spans="2:5" ht="21.75" customHeight="1">
      <c r="B65" s="53" t="s">
        <v>107</v>
      </c>
      <c r="C65" s="53"/>
      <c r="D65" s="60">
        <v>369147</v>
      </c>
      <c r="E65" s="81">
        <f>D65/SUM($D:$D)</f>
        <v>1.2034635361535151E-2</v>
      </c>
    </row>
    <row r="66" spans="2:5" ht="18.75" customHeight="1">
      <c r="B66" s="53" t="s">
        <v>108</v>
      </c>
      <c r="C66" s="53"/>
      <c r="D66" s="60">
        <v>350000</v>
      </c>
      <c r="E66" s="81">
        <f>D66/SUM($D:$D)</f>
        <v>1.1410420175532518E-2</v>
      </c>
    </row>
    <row r="67" spans="2:5" ht="28.5" customHeight="1">
      <c r="B67" s="53" t="s">
        <v>109</v>
      </c>
      <c r="C67" s="53"/>
      <c r="D67" s="60">
        <v>258852</v>
      </c>
      <c r="E67" s="81">
        <f>D67/SUM($D:$D)</f>
        <v>8.4388859522198378E-3</v>
      </c>
    </row>
    <row r="68" spans="2:5" ht="15.75">
      <c r="B68" s="53" t="s">
        <v>110</v>
      </c>
      <c r="C68" s="53"/>
      <c r="D68" s="60">
        <v>252258</v>
      </c>
      <c r="E68" s="81">
        <f>D68/SUM($D:$D)</f>
        <v>8.2239136361128059E-3</v>
      </c>
    </row>
    <row r="69" spans="2:5" ht="15.75">
      <c r="B69" s="53" t="s">
        <v>111</v>
      </c>
      <c r="C69" s="53"/>
      <c r="D69" s="60">
        <v>141147</v>
      </c>
      <c r="E69" s="81">
        <f>D69/SUM($D:$D)</f>
        <v>4.6015616471882523E-3</v>
      </c>
    </row>
    <row r="70" spans="2:5" ht="15.75">
      <c r="B70" s="53" t="s">
        <v>112</v>
      </c>
      <c r="C70" s="53"/>
      <c r="D70" s="60">
        <v>147741</v>
      </c>
      <c r="E70" s="81">
        <f>D70/SUM($D:$D)</f>
        <v>4.8165339632952851E-3</v>
      </c>
    </row>
    <row r="71" spans="2:5" ht="15.75">
      <c r="B71" s="53" t="s">
        <v>113</v>
      </c>
      <c r="C71" s="53"/>
      <c r="D71" s="60">
        <v>25000</v>
      </c>
      <c r="E71" s="81">
        <f>D71/SUM($D:$D)</f>
        <v>8.1503001253803702E-4</v>
      </c>
    </row>
    <row r="72" spans="2:5" ht="23.25" customHeight="1">
      <c r="B72" s="91" t="s">
        <v>114</v>
      </c>
      <c r="C72" s="91"/>
      <c r="D72" s="91"/>
      <c r="E72" s="91">
        <f>D72/SUM($D:$D)</f>
        <v>0</v>
      </c>
    </row>
    <row r="73" spans="2:5" ht="15.75">
      <c r="B73" s="53" t="s">
        <v>115</v>
      </c>
      <c r="C73" s="53"/>
      <c r="D73" s="60">
        <f>SUM(D64:D71,D48:D62,D42:D46,D32:D40,D24:D30,D16:D22,D6:D14)*4.6%</f>
        <v>1448476.06</v>
      </c>
      <c r="E73" s="81">
        <f>D73/SUM($D:$D)</f>
        <v>4.7222058453713862E-2</v>
      </c>
    </row>
    <row r="74" spans="2:5" ht="15.75">
      <c r="B74" s="53" t="s">
        <v>116</v>
      </c>
      <c r="C74" s="53"/>
      <c r="D74" s="60"/>
      <c r="E74" s="81">
        <f>D74/SUM($D:$D)</f>
        <v>0</v>
      </c>
    </row>
    <row r="75" spans="2:5" ht="15.75">
      <c r="B75" s="91" t="s">
        <v>39</v>
      </c>
      <c r="C75" s="91"/>
      <c r="D75" s="91"/>
      <c r="E75" s="91"/>
    </row>
    <row r="76" spans="2:5" ht="15.75">
      <c r="B76" s="53" t="s">
        <v>40</v>
      </c>
      <c r="C76" s="53"/>
      <c r="D76" s="61">
        <v>-2263369</v>
      </c>
      <c r="E76" s="81">
        <f>D76/SUM($D:$D)</f>
        <v>-7.3788546577928174E-2</v>
      </c>
    </row>
    <row r="77" spans="2:5" ht="15.75">
      <c r="B77" s="54" t="s">
        <v>32</v>
      </c>
      <c r="C77" s="53"/>
      <c r="D77" s="61"/>
      <c r="E77" s="81">
        <f>D77/SUM($D:$D)</f>
        <v>0</v>
      </c>
    </row>
    <row r="78" spans="2:5" ht="15.75">
      <c r="B78" s="54" t="s">
        <v>33</v>
      </c>
      <c r="C78" s="53"/>
      <c r="D78" s="61"/>
      <c r="E78" s="81">
        <f>D78/SUM($D:$D)</f>
        <v>0</v>
      </c>
    </row>
    <row r="79" spans="2:5" ht="20.100000000000001" customHeight="1">
      <c r="B79" s="54" t="s">
        <v>117</v>
      </c>
      <c r="C79" s="54"/>
      <c r="D79" s="61"/>
      <c r="E79" s="81">
        <f>D79/SUM($D:$D)</f>
        <v>0</v>
      </c>
    </row>
    <row r="80" spans="2:5" ht="20.100000000000001" customHeight="1">
      <c r="B80" s="54" t="s">
        <v>118</v>
      </c>
      <c r="C80" s="54"/>
      <c r="D80" s="61"/>
      <c r="E80" s="81">
        <f>D80/SUM($D:$D)</f>
        <v>0</v>
      </c>
    </row>
    <row r="81" spans="2:5" ht="20.100000000000001" customHeight="1">
      <c r="B81" s="54" t="s">
        <v>119</v>
      </c>
      <c r="C81" s="54"/>
      <c r="D81" s="61"/>
      <c r="E81" s="81">
        <f>D81/SUM($D:$D)</f>
        <v>0</v>
      </c>
    </row>
    <row r="82" spans="2:5" ht="20.100000000000001" customHeight="1">
      <c r="B82" s="54"/>
      <c r="C82" s="54"/>
      <c r="D82" s="61"/>
      <c r="E82" s="81">
        <f>D82/SUM($D:$D)</f>
        <v>0</v>
      </c>
    </row>
  </sheetData>
  <mergeCells count="9">
    <mergeCell ref="B5:E5"/>
    <mergeCell ref="B15:E15"/>
    <mergeCell ref="B23:E23"/>
    <mergeCell ref="B75:E75"/>
    <mergeCell ref="B41:E41"/>
    <mergeCell ref="B63:E63"/>
    <mergeCell ref="B47:E47"/>
    <mergeCell ref="B31:E31"/>
    <mergeCell ref="B72:E72"/>
  </mergeCells>
  <dataValidations count="2">
    <dataValidation type="list" allowBlank="1" showInputMessage="1" showErrorMessage="1" sqref="H6" xr:uid="{C713D138-6EAC-471D-9B7D-75B630C1AF7B}">
      <formula1>"Regnskab, Budget"</formula1>
    </dataValidation>
    <dataValidation allowBlank="1" showErrorMessage="1" sqref="G5:G7" xr:uid="{113A0685-2964-47CE-8C71-8D3E39EB88F8}"/>
  </dataValidations>
  <printOptions horizontalCentered="1"/>
  <pageMargins left="0.25" right="0.25" top="0.5" bottom="0.5" header="0.5" footer="0.5"/>
  <pageSetup paperSize="9" scale="60" orientation="portrait" r:id="rId1"/>
  <headerFooter differentFirst="1"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17DD-26BE-4AAE-88D5-21C260CEE890}">
  <sheetPr>
    <tabColor theme="9" tint="0.59999389629810485"/>
  </sheetPr>
  <dimension ref="B2:F33"/>
  <sheetViews>
    <sheetView workbookViewId="0">
      <selection activeCell="E11" sqref="E11"/>
    </sheetView>
  </sheetViews>
  <sheetFormatPr defaultColWidth="9.140625" defaultRowHeight="15"/>
  <cols>
    <col min="1" max="1" width="1.42578125" style="63" customWidth="1"/>
    <col min="2" max="2" width="66.42578125" style="67" customWidth="1"/>
    <col min="3" max="3" width="20.85546875" style="68" customWidth="1"/>
    <col min="4" max="6" width="20.85546875" style="63" customWidth="1"/>
    <col min="7" max="8" width="16" style="63" bestFit="1" customWidth="1"/>
    <col min="9" max="10" width="14.28515625" style="63" bestFit="1" customWidth="1"/>
    <col min="11" max="11" width="16.85546875" style="63" bestFit="1" customWidth="1"/>
    <col min="12" max="12" width="10.140625" style="63" bestFit="1" customWidth="1"/>
    <col min="13" max="14" width="16.7109375" style="63" bestFit="1" customWidth="1"/>
    <col min="15" max="16384" width="9.140625" style="63"/>
  </cols>
  <sheetData>
    <row r="2" spans="2:6" ht="21" customHeight="1">
      <c r="B2" s="93" t="s">
        <v>67</v>
      </c>
      <c r="C2" s="93"/>
    </row>
    <row r="3" spans="2:6" ht="22.5" customHeight="1"/>
    <row r="4" spans="2:6" ht="18.75" customHeight="1">
      <c r="B4" s="71" t="s">
        <v>23</v>
      </c>
      <c r="C4" s="72">
        <f>Budget_Omkostninger!H7</f>
        <v>2026</v>
      </c>
    </row>
    <row r="5" spans="2:6" ht="18.75" customHeight="1">
      <c r="B5" s="71" t="s">
        <v>26</v>
      </c>
      <c r="C5" s="76" t="s">
        <v>42</v>
      </c>
    </row>
    <row r="6" spans="2:6" ht="18.75" customHeight="1">
      <c r="B6" s="71" t="s">
        <v>1</v>
      </c>
      <c r="C6" s="73">
        <f>INDEX(PL!$C$6:$L$15,MATCH(C4,PL!$B$6:$B$15,0),MATCH(C5,PL!$C$5:$L$5,0))</f>
        <v>1</v>
      </c>
    </row>
    <row r="7" spans="2:6" ht="14.25">
      <c r="B7" s="70"/>
      <c r="C7" s="70"/>
    </row>
    <row r="8" spans="2:6" ht="21.75" customHeight="1">
      <c r="B8" s="80" t="str">
        <f>"Samlede udfyldte omkostninger, "&amp;C5</f>
        <v>Samlede udfyldte omkostninger, 2026-PL</v>
      </c>
      <c r="C8" s="74">
        <f>Budget_Omkostninger!H5*C6</f>
        <v>30673717.059999999</v>
      </c>
    </row>
    <row r="9" spans="2:6" ht="15.75" customHeight="1"/>
    <row r="10" spans="2:6" ht="15.75" customHeight="1">
      <c r="B10" s="86" t="s">
        <v>122</v>
      </c>
      <c r="C10" s="71" t="s">
        <v>34</v>
      </c>
      <c r="D10" s="71" t="s">
        <v>68</v>
      </c>
      <c r="E10" s="71" t="s">
        <v>69</v>
      </c>
      <c r="F10" s="71" t="s">
        <v>70</v>
      </c>
    </row>
    <row r="11" spans="2:6" ht="21.75" customHeight="1">
      <c r="B11" s="71" t="s">
        <v>71</v>
      </c>
      <c r="C11" s="72">
        <f>D11+E11+F11</f>
        <v>50</v>
      </c>
      <c r="D11" s="78">
        <v>20</v>
      </c>
      <c r="E11" s="78">
        <v>30</v>
      </c>
      <c r="F11" s="78">
        <v>0</v>
      </c>
    </row>
    <row r="12" spans="2:6" ht="21.75" customHeight="1">
      <c r="B12" s="71" t="s">
        <v>62</v>
      </c>
      <c r="C12" s="74">
        <f>SUMPRODUCT(D11:F11,D12:F12)/SUM(D11:F11)</f>
        <v>1620</v>
      </c>
      <c r="D12" s="75">
        <v>1500</v>
      </c>
      <c r="E12" s="75">
        <v>1700</v>
      </c>
      <c r="F12" s="75">
        <v>0</v>
      </c>
    </row>
    <row r="13" spans="2:6" ht="21.75" customHeight="1">
      <c r="B13" s="71" t="s">
        <v>66</v>
      </c>
      <c r="C13" s="94">
        <v>2026</v>
      </c>
      <c r="D13" s="95"/>
      <c r="E13" s="95"/>
      <c r="F13" s="96"/>
    </row>
    <row r="14" spans="2:6" ht="21.75" customHeight="1">
      <c r="B14" s="71" t="str">
        <f>"Takst pr. døgn, "&amp;C5</f>
        <v>Takst pr. døgn, 2026-PL</v>
      </c>
      <c r="C14" s="74">
        <f>INDEX(PL!$C$6:$L$15,MATCH(C13,PL!$B$6:$B$15,0),MATCH($C$5,PL!$C$5:$L$5,0))*C12</f>
        <v>1620</v>
      </c>
      <c r="D14" s="74">
        <f>INDEX(PL!$C$6:$L$15,MATCH(C13,PL!$B$6:$B$15,0),MATCH($C$5,PL!$C$5:$L$5,0))*D12</f>
        <v>1500</v>
      </c>
      <c r="E14" s="74">
        <f>INDEX(PL!$C$6:$L$15,MATCH(C13,PL!$B$6:$B$15,0),MATCH($C$5,PL!$C$5:$L$5,0))*E12</f>
        <v>1700</v>
      </c>
      <c r="F14" s="74">
        <f>INDEX(PL!$C$6:$L$15,MATCH(C13,PL!$B$6:$B$15,0),MATCH($C$5,PL!$C$5:$L$5,0))*F12</f>
        <v>0</v>
      </c>
    </row>
    <row r="15" spans="2:6" ht="21.75" customHeight="1">
      <c r="B15" s="63"/>
      <c r="C15" s="63"/>
    </row>
    <row r="16" spans="2:6" ht="21.75" customHeight="1">
      <c r="B16" s="86" t="s">
        <v>123</v>
      </c>
      <c r="C16" s="71" t="s">
        <v>124</v>
      </c>
      <c r="D16" s="71" t="s">
        <v>125</v>
      </c>
      <c r="E16" s="71" t="s">
        <v>126</v>
      </c>
      <c r="F16" s="71" t="s">
        <v>127</v>
      </c>
    </row>
    <row r="17" spans="2:6" ht="21.75" customHeight="1">
      <c r="B17" s="84" t="s">
        <v>128</v>
      </c>
      <c r="C17" s="77">
        <v>0.95</v>
      </c>
      <c r="D17" s="77">
        <v>0.85</v>
      </c>
      <c r="E17" s="77">
        <v>0.9</v>
      </c>
      <c r="F17" s="77">
        <v>0.98</v>
      </c>
    </row>
    <row r="18" spans="2:6" ht="21.75" customHeight="1">
      <c r="B18" s="84" t="s">
        <v>121</v>
      </c>
      <c r="C18" s="85">
        <f>$C$8/($C$11*C17*365)</f>
        <v>1769.2122312905551</v>
      </c>
      <c r="D18" s="85">
        <f t="shared" ref="D18:F18" si="0">$C$8/($C$11*D17*365)</f>
        <v>1977.3548467365026</v>
      </c>
      <c r="E18" s="85">
        <f t="shared" si="0"/>
        <v>1867.501799695586</v>
      </c>
      <c r="F18" s="85">
        <f t="shared" si="0"/>
        <v>1715.0526731898237</v>
      </c>
    </row>
    <row r="19" spans="2:6" ht="21.75" customHeight="1">
      <c r="B19" s="63"/>
      <c r="C19" s="63"/>
    </row>
    <row r="20" spans="2:6" ht="21.75" customHeight="1">
      <c r="B20" s="71" t="s">
        <v>63</v>
      </c>
      <c r="C20" s="77">
        <v>0.95</v>
      </c>
    </row>
    <row r="21" spans="2:6" ht="21.75" customHeight="1">
      <c r="B21" s="71" t="s">
        <v>64</v>
      </c>
      <c r="C21" s="74">
        <f>C11*365*C14*C20</f>
        <v>28086750</v>
      </c>
    </row>
    <row r="22" spans="2:6" ht="21.75" customHeight="1">
      <c r="B22" s="90" t="s">
        <v>65</v>
      </c>
      <c r="C22" s="88">
        <f>C21-C8</f>
        <v>-2586967.0599999987</v>
      </c>
    </row>
    <row r="23" spans="2:6" ht="21.75" customHeight="1">
      <c r="B23" s="71" t="s">
        <v>72</v>
      </c>
      <c r="C23" s="79">
        <f>C8/(C11*C14*365)</f>
        <v>1.0375009998308811</v>
      </c>
    </row>
    <row r="24" spans="2:6" ht="21.75" customHeight="1"/>
    <row r="25" spans="2:6" ht="21.75" customHeight="1"/>
    <row r="26" spans="2:6" ht="21.75" customHeight="1"/>
    <row r="27" spans="2:6" ht="21.75" customHeight="1">
      <c r="B27" s="86" t="s">
        <v>129</v>
      </c>
      <c r="F27" s="69"/>
    </row>
    <row r="28" spans="2:6" ht="21.75" customHeight="1">
      <c r="B28" s="71" t="s">
        <v>132</v>
      </c>
      <c r="C28" s="74">
        <v>-300000</v>
      </c>
      <c r="F28" s="69"/>
    </row>
    <row r="29" spans="2:6" ht="21.75" customHeight="1">
      <c r="B29" s="71" t="s">
        <v>130</v>
      </c>
      <c r="C29" s="74">
        <v>250000</v>
      </c>
      <c r="F29" s="69"/>
    </row>
    <row r="30" spans="2:6" ht="21.75" customHeight="1">
      <c r="B30" s="71" t="s">
        <v>133</v>
      </c>
      <c r="C30" s="74">
        <v>-150000</v>
      </c>
      <c r="F30" s="69"/>
    </row>
    <row r="33" spans="2:3" ht="15.75">
      <c r="B33" s="87" t="s">
        <v>131</v>
      </c>
      <c r="C33" s="89">
        <f>C22+SUM(C28:C30)</f>
        <v>-2786967.0599999987</v>
      </c>
    </row>
  </sheetData>
  <mergeCells count="2">
    <mergeCell ref="B2:C2"/>
    <mergeCell ref="C13:F13"/>
  </mergeCells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4829B5-E276-4A5E-9565-AA20EF603455}">
          <x14:formula1>
            <xm:f>PL!$C$5:$L$5</xm:f>
          </x14:formula1>
          <xm:sqref>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B6D4-2B04-4C10-BDF4-2CDA5482EF55}">
  <sheetPr>
    <tabColor theme="8" tint="0.59999389629810485"/>
  </sheetPr>
  <dimension ref="B2:N16"/>
  <sheetViews>
    <sheetView showGridLines="0" zoomScaleNormal="100" workbookViewId="0">
      <selection activeCell="D19" sqref="D19"/>
    </sheetView>
  </sheetViews>
  <sheetFormatPr defaultColWidth="9.140625" defaultRowHeight="20.100000000000001" customHeight="1"/>
  <cols>
    <col min="1" max="1" width="1.42578125" customWidth="1"/>
    <col min="2" max="2" width="27.140625" style="2" bestFit="1" customWidth="1"/>
    <col min="3" max="5" width="16.5703125" style="3" customWidth="1"/>
    <col min="6" max="6" width="18" style="1" bestFit="1" customWidth="1"/>
    <col min="7" max="7" width="16.7109375" style="4" bestFit="1" customWidth="1"/>
    <col min="8" max="8" width="15" style="5" bestFit="1" customWidth="1"/>
    <col min="9" max="12" width="15" style="5" customWidth="1"/>
    <col min="13" max="13" width="15.85546875" style="5" bestFit="1" customWidth="1"/>
    <col min="14" max="14" width="13.5703125" style="6" customWidth="1"/>
    <col min="15" max="15" width="13" customWidth="1"/>
    <col min="16" max="16" width="18" customWidth="1"/>
  </cols>
  <sheetData>
    <row r="2" spans="2:13" ht="18.75">
      <c r="B2" s="8" t="s">
        <v>1</v>
      </c>
      <c r="C2" s="13"/>
      <c r="D2" s="19" t="s">
        <v>50</v>
      </c>
      <c r="E2" s="20" t="s">
        <v>51</v>
      </c>
      <c r="F2" s="20" t="s">
        <v>52</v>
      </c>
      <c r="G2" s="20" t="s">
        <v>53</v>
      </c>
      <c r="H2" s="20" t="s">
        <v>54</v>
      </c>
      <c r="I2" s="20" t="s">
        <v>55</v>
      </c>
      <c r="J2" s="20" t="s">
        <v>56</v>
      </c>
      <c r="K2" s="20" t="s">
        <v>57</v>
      </c>
      <c r="L2" s="21" t="s">
        <v>58</v>
      </c>
      <c r="M2"/>
    </row>
    <row r="3" spans="2:13" ht="18.75">
      <c r="B3" s="9"/>
      <c r="C3" s="18" t="s">
        <v>48</v>
      </c>
      <c r="D3" s="14">
        <v>3.1</v>
      </c>
      <c r="E3" s="15">
        <v>2.7</v>
      </c>
      <c r="F3" s="15">
        <v>3.7</v>
      </c>
      <c r="G3" s="15">
        <v>3.6</v>
      </c>
      <c r="H3" s="15">
        <v>3.4</v>
      </c>
      <c r="I3" s="16"/>
      <c r="J3" s="16"/>
      <c r="K3" s="16"/>
      <c r="L3" s="17"/>
      <c r="M3" s="10"/>
    </row>
    <row r="4" spans="2:13" ht="21" customHeight="1"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0"/>
    </row>
    <row r="5" spans="2:13" ht="20.100000000000001" customHeight="1">
      <c r="B5" s="30" t="s">
        <v>23</v>
      </c>
      <c r="C5" s="32" t="s">
        <v>20</v>
      </c>
      <c r="D5" s="29" t="s">
        <v>21</v>
      </c>
      <c r="E5" s="29" t="s">
        <v>22</v>
      </c>
      <c r="F5" s="29" t="s">
        <v>35</v>
      </c>
      <c r="G5" s="29" t="s">
        <v>41</v>
      </c>
      <c r="H5" s="29" t="s">
        <v>42</v>
      </c>
      <c r="I5" s="29" t="s">
        <v>44</v>
      </c>
      <c r="J5" s="29" t="s">
        <v>43</v>
      </c>
      <c r="K5" s="29" t="s">
        <v>45</v>
      </c>
      <c r="L5" s="31" t="s">
        <v>46</v>
      </c>
      <c r="M5" s="31" t="s">
        <v>0</v>
      </c>
    </row>
    <row r="6" spans="2:13" ht="20.100000000000001" customHeight="1">
      <c r="B6" s="26">
        <v>2021</v>
      </c>
      <c r="C6" s="36">
        <v>1</v>
      </c>
      <c r="D6" s="22">
        <f>C6*(1+(D$3/100))</f>
        <v>1.0309999999999999</v>
      </c>
      <c r="E6" s="22">
        <f>D6*(1+(E$3/100))</f>
        <v>1.0588369999999998</v>
      </c>
      <c r="F6" s="22">
        <f>E6*(1+(F$3/100))</f>
        <v>1.0980139689999997</v>
      </c>
      <c r="G6" s="22">
        <f>F6*(1+(G$3/100))</f>
        <v>1.1375424718839997</v>
      </c>
      <c r="H6" s="22">
        <f>G6*(1+(H$3/100))</f>
        <v>1.1762189159280558</v>
      </c>
      <c r="I6" s="22" t="str">
        <f t="shared" ref="I6:L11" si="0">IF(I$3="","",H6*(1+(I$3/100)))</f>
        <v/>
      </c>
      <c r="J6" s="22" t="str">
        <f t="shared" si="0"/>
        <v/>
      </c>
      <c r="K6" s="22" t="str">
        <f t="shared" si="0"/>
        <v/>
      </c>
      <c r="L6" s="23" t="str">
        <f t="shared" si="0"/>
        <v/>
      </c>
      <c r="M6" s="33" t="s">
        <v>49</v>
      </c>
    </row>
    <row r="7" spans="2:13" ht="20.100000000000001" customHeight="1">
      <c r="B7" s="27">
        <v>2022</v>
      </c>
      <c r="C7" s="37">
        <f>D7/(1+(D$3/100))</f>
        <v>0.96993210475266745</v>
      </c>
      <c r="D7" s="36">
        <v>1</v>
      </c>
      <c r="E7" s="12">
        <f>D7*(1+(E$3/100))</f>
        <v>1.0269999999999999</v>
      </c>
      <c r="F7" s="12">
        <f>E7*(1+(F$3/100))</f>
        <v>1.0649989999999998</v>
      </c>
      <c r="G7" s="12">
        <f>F7*(1+(G$3/100))</f>
        <v>1.1033389639999998</v>
      </c>
      <c r="H7" s="12">
        <f>G7*(1+(H$3/100))</f>
        <v>1.1408524887759999</v>
      </c>
      <c r="I7" s="12" t="str">
        <f t="shared" si="0"/>
        <v/>
      </c>
      <c r="J7" s="12" t="str">
        <f t="shared" si="0"/>
        <v/>
      </c>
      <c r="K7" s="12" t="str">
        <f t="shared" si="0"/>
        <v/>
      </c>
      <c r="L7" s="24" t="str">
        <f t="shared" si="0"/>
        <v/>
      </c>
      <c r="M7" s="34" t="s">
        <v>49</v>
      </c>
    </row>
    <row r="8" spans="2:13" ht="20.100000000000001" customHeight="1">
      <c r="B8" s="27">
        <v>2023</v>
      </c>
      <c r="C8" s="37">
        <f>D8/(1+(D$3/100))</f>
        <v>0.94443242916520687</v>
      </c>
      <c r="D8" s="12">
        <f>E8/(1+(E$3/100))</f>
        <v>0.97370983446932824</v>
      </c>
      <c r="E8" s="36">
        <v>1</v>
      </c>
      <c r="F8" s="12">
        <f>E8*(1+(F$3/100))</f>
        <v>1.0369999999999999</v>
      </c>
      <c r="G8" s="12">
        <f>F8*(1+(G$3/100))</f>
        <v>1.0743319999999998</v>
      </c>
      <c r="H8" s="12">
        <f>G8*(1+(H$3/100))</f>
        <v>1.1108592879999999</v>
      </c>
      <c r="I8" s="12" t="str">
        <f t="shared" si="0"/>
        <v/>
      </c>
      <c r="J8" s="12" t="str">
        <f t="shared" si="0"/>
        <v/>
      </c>
      <c r="K8" s="12" t="str">
        <f t="shared" si="0"/>
        <v/>
      </c>
      <c r="L8" s="24" t="str">
        <f t="shared" si="0"/>
        <v/>
      </c>
      <c r="M8" s="34" t="s">
        <v>49</v>
      </c>
    </row>
    <row r="9" spans="2:13" ht="20.100000000000001" customHeight="1">
      <c r="B9" s="27">
        <v>2024</v>
      </c>
      <c r="C9" s="37">
        <f>D9/(1+(D$3/100))</f>
        <v>0.91073522581022859</v>
      </c>
      <c r="D9" s="12">
        <f>E9/(1+(E$3/100))</f>
        <v>0.93896801781034556</v>
      </c>
      <c r="E9" s="12">
        <f>F9/(1+(F$3/100))</f>
        <v>0.96432015429122475</v>
      </c>
      <c r="F9" s="36">
        <v>1</v>
      </c>
      <c r="G9" s="12">
        <f>F9*(1+(G$3/100))</f>
        <v>1.036</v>
      </c>
      <c r="H9" s="12">
        <f>G9*(1+(H$3/100))</f>
        <v>1.071224</v>
      </c>
      <c r="I9" s="12" t="str">
        <f t="shared" si="0"/>
        <v/>
      </c>
      <c r="J9" s="12" t="str">
        <f t="shared" si="0"/>
        <v/>
      </c>
      <c r="K9" s="12" t="str">
        <f t="shared" si="0"/>
        <v/>
      </c>
      <c r="L9" s="24" t="str">
        <f t="shared" si="0"/>
        <v/>
      </c>
      <c r="M9" s="34" t="s">
        <v>49</v>
      </c>
    </row>
    <row r="10" spans="2:13" ht="20.100000000000001" customHeight="1">
      <c r="B10" s="27">
        <v>2025</v>
      </c>
      <c r="C10" s="37">
        <f>D10/(1+(D$3/100))</f>
        <v>0.87908805580137883</v>
      </c>
      <c r="D10" s="12">
        <f>E10/(1+(E$3/100))</f>
        <v>0.90633978553122152</v>
      </c>
      <c r="E10" s="12">
        <f>F10/(1+(F$3/100))</f>
        <v>0.93081095974056438</v>
      </c>
      <c r="F10" s="12">
        <f>G10/(1+(G$3/100))</f>
        <v>0.96525096525096521</v>
      </c>
      <c r="G10" s="36">
        <v>1</v>
      </c>
      <c r="H10" s="12">
        <f>G10*(1+(H$3/100))</f>
        <v>1.034</v>
      </c>
      <c r="I10" s="12" t="str">
        <f t="shared" si="0"/>
        <v/>
      </c>
      <c r="J10" s="12" t="str">
        <f t="shared" si="0"/>
        <v/>
      </c>
      <c r="K10" s="12" t="str">
        <f t="shared" si="0"/>
        <v/>
      </c>
      <c r="L10" s="24" t="str">
        <f t="shared" si="0"/>
        <v/>
      </c>
      <c r="M10" s="34" t="s">
        <v>49</v>
      </c>
    </row>
    <row r="11" spans="2:13" ht="20.100000000000001" customHeight="1">
      <c r="B11" s="27">
        <v>2026</v>
      </c>
      <c r="C11" s="37">
        <f>D11/(1+(D$3/100))</f>
        <v>0.8501818721483354</v>
      </c>
      <c r="D11" s="12">
        <f>E11/(1+(E$3/100))</f>
        <v>0.87653751018493375</v>
      </c>
      <c r="E11" s="12">
        <f>F11/(1+(F$3/100))</f>
        <v>0.90020402295992685</v>
      </c>
      <c r="F11" s="12">
        <f>G11/(1+(G$3/100))</f>
        <v>0.93351157180944411</v>
      </c>
      <c r="G11" s="12">
        <f>H11/(1+(H$3/100))</f>
        <v>0.96711798839458407</v>
      </c>
      <c r="H11" s="36">
        <v>1</v>
      </c>
      <c r="I11" s="12" t="str">
        <f t="shared" si="0"/>
        <v/>
      </c>
      <c r="J11" s="12" t="str">
        <f t="shared" si="0"/>
        <v/>
      </c>
      <c r="K11" s="12" t="str">
        <f t="shared" si="0"/>
        <v/>
      </c>
      <c r="L11" s="24" t="str">
        <f t="shared" si="0"/>
        <v/>
      </c>
      <c r="M11" s="34" t="s">
        <v>49</v>
      </c>
    </row>
    <row r="12" spans="2:13" ht="20.100000000000001" customHeight="1">
      <c r="B12" s="27">
        <v>2027</v>
      </c>
      <c r="C12" s="37" t="str">
        <f>IFERROR(D12/(1+(D$3/100)),"")</f>
        <v/>
      </c>
      <c r="D12" s="12" t="str">
        <f t="shared" ref="D12:H12" si="1">IFERROR(E12/(1+(E$3/100)),"")</f>
        <v/>
      </c>
      <c r="E12" s="12" t="str">
        <f t="shared" si="1"/>
        <v/>
      </c>
      <c r="F12" s="12" t="str">
        <f t="shared" si="1"/>
        <v/>
      </c>
      <c r="G12" s="12" t="str">
        <f t="shared" si="1"/>
        <v/>
      </c>
      <c r="H12" s="12" t="str">
        <f t="shared" si="1"/>
        <v/>
      </c>
      <c r="I12" s="36" t="str">
        <f>IF(I$3="","",1)</f>
        <v/>
      </c>
      <c r="J12" s="12" t="str">
        <f>IF(J$3="","",I12*(1+(J$3/100)))</f>
        <v/>
      </c>
      <c r="K12" s="12" t="str">
        <f>IF(K$3="","",J12*(1+(K$3/100)))</f>
        <v/>
      </c>
      <c r="L12" s="24" t="str">
        <f>IF(L$3="","",K12*(1+(L$3/100)))</f>
        <v/>
      </c>
      <c r="M12" s="34" t="s">
        <v>49</v>
      </c>
    </row>
    <row r="13" spans="2:13" ht="20.100000000000001" customHeight="1">
      <c r="B13" s="27">
        <v>2028</v>
      </c>
      <c r="C13" s="37" t="str">
        <f t="shared" ref="C13:K15" si="2">IFERROR(D13/(1+(D$3/100)),"")</f>
        <v/>
      </c>
      <c r="D13" s="12" t="str">
        <f t="shared" si="2"/>
        <v/>
      </c>
      <c r="E13" s="12" t="str">
        <f t="shared" si="2"/>
        <v/>
      </c>
      <c r="F13" s="12" t="str">
        <f t="shared" si="2"/>
        <v/>
      </c>
      <c r="G13" s="12" t="str">
        <f t="shared" si="2"/>
        <v/>
      </c>
      <c r="H13" s="12" t="str">
        <f t="shared" si="2"/>
        <v/>
      </c>
      <c r="I13" s="12" t="str">
        <f t="shared" si="2"/>
        <v/>
      </c>
      <c r="J13" s="36" t="str">
        <f>IF(J$3="","",1)</f>
        <v/>
      </c>
      <c r="K13" s="12" t="str">
        <f>IF(K$3="","",J13*(1+(K$3/100)))</f>
        <v/>
      </c>
      <c r="L13" s="24" t="str">
        <f>IF(L$3="","",K13*(1+(L$3/100)))</f>
        <v/>
      </c>
      <c r="M13" s="34" t="s">
        <v>49</v>
      </c>
    </row>
    <row r="14" spans="2:13" ht="20.100000000000001" customHeight="1">
      <c r="B14" s="27">
        <v>2029</v>
      </c>
      <c r="C14" s="37" t="str">
        <f t="shared" ref="C14:G14" si="3">IFERROR(D14/(1+(D$3/100)),"")</f>
        <v/>
      </c>
      <c r="D14" s="12" t="str">
        <f t="shared" si="3"/>
        <v/>
      </c>
      <c r="E14" s="12" t="str">
        <f t="shared" si="3"/>
        <v/>
      </c>
      <c r="F14" s="12" t="str">
        <f t="shared" si="3"/>
        <v/>
      </c>
      <c r="G14" s="12" t="str">
        <f t="shared" si="3"/>
        <v/>
      </c>
      <c r="H14" s="12" t="str">
        <f t="shared" si="2"/>
        <v/>
      </c>
      <c r="I14" s="12" t="str">
        <f t="shared" si="2"/>
        <v/>
      </c>
      <c r="J14" s="12" t="str">
        <f t="shared" si="2"/>
        <v/>
      </c>
      <c r="K14" s="36" t="str">
        <f>IF(K$3="","",1)</f>
        <v/>
      </c>
      <c r="L14" s="24" t="str">
        <f>IF(L$3="","",K14*(1+(L$3/100)))</f>
        <v/>
      </c>
      <c r="M14" s="34" t="s">
        <v>49</v>
      </c>
    </row>
    <row r="15" spans="2:13" ht="20.100000000000001" customHeight="1">
      <c r="B15" s="28">
        <v>2030</v>
      </c>
      <c r="C15" s="38" t="str">
        <f t="shared" ref="C15:F15" si="4">IFERROR(D15/(1+(D$3/100)),"")</f>
        <v/>
      </c>
      <c r="D15" s="25" t="str">
        <f t="shared" si="4"/>
        <v/>
      </c>
      <c r="E15" s="25" t="str">
        <f t="shared" si="4"/>
        <v/>
      </c>
      <c r="F15" s="25" t="str">
        <f t="shared" si="4"/>
        <v/>
      </c>
      <c r="G15" s="25" t="str">
        <f t="shared" si="2"/>
        <v/>
      </c>
      <c r="H15" s="25" t="str">
        <f t="shared" si="2"/>
        <v/>
      </c>
      <c r="I15" s="25" t="str">
        <f t="shared" si="2"/>
        <v/>
      </c>
      <c r="J15" s="25" t="str">
        <f t="shared" si="2"/>
        <v/>
      </c>
      <c r="K15" s="25" t="str">
        <f t="shared" si="2"/>
        <v/>
      </c>
      <c r="L15" s="36" t="str">
        <f>IF(L$3="","",1)</f>
        <v/>
      </c>
      <c r="M15" s="35" t="s">
        <v>49</v>
      </c>
    </row>
    <row r="16" spans="2:13" ht="20.100000000000001" customHeight="1">
      <c r="B16" s="39" t="s">
        <v>59</v>
      </c>
    </row>
  </sheetData>
  <phoneticPr fontId="1" type="noConversion"/>
  <dataValidations count="1">
    <dataValidation allowBlank="1" showErrorMessage="1" sqref="B1:C1 B5:M15" xr:uid="{B382040E-F8EC-4444-9ABE-8B50FD24FF43}"/>
  </dataValidations>
  <printOptions horizontalCentered="1"/>
  <pageMargins left="0.25" right="0.25" top="0.5" bottom="0.5" header="0.5" footer="0.5"/>
  <pageSetup paperSize="9" scale="60" orientation="portrait" r:id="rId1"/>
  <headerFooter differentFirst="1"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034ccd76-7b00-4ff7-a7f6-adac6874b78b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CBA594B39ED48BA73E1CD150C5B62" ma:contentTypeVersion="1" ma:contentTypeDescription="Create a new document." ma:contentTypeScope="" ma:versionID="d6940dcf60a0654e81b67d621036a8a1">
  <xsd:schema xmlns:xsd="http://www.w3.org/2001/XMLSchema" xmlns:xs="http://www.w3.org/2001/XMLSchema" xmlns:p="http://schemas.microsoft.com/office/2006/metadata/properties" xmlns:ns2="f5ab4479-3ca0-474a-8297-f544274334ca" targetNamespace="http://schemas.microsoft.com/office/2006/metadata/properties" ma:root="true" ma:fieldsID="19e8a1c28c2310cb59c0bf818babbe96" ns2:_="">
    <xsd:import namespace="f5ab4479-3ca0-474a-8297-f544274334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4479-3ca0-474a-8297-f544274334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EFAA7A-E06C-494C-AB36-33B5DAE8C2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7A9B470-C5A6-46D3-9C30-ECFF952645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4A158-2050-4F00-96DB-B9D9E473B27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8165F010-E0EA-4A18-8F8A-C385A76096D7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5ab4479-3ca0-474a-8297-f544274334ca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6C04FE20-D03C-4D15-81E8-5765C504D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4479-3ca0-474a-8297-f54427433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TM16400193</Templat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Forside</vt:lpstr>
      <vt:lpstr>Budget_Omkostninger</vt:lpstr>
      <vt:lpstr>Beregning</vt:lpstr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Excelskabelon til opsætning af budget for lokalplejehjem.xlsx</dc:title>
  <dc:creator/>
  <cp:lastModifiedBy/>
  <dcterms:created xsi:type="dcterms:W3CDTF">2020-10-16T05:07:10Z</dcterms:created>
  <dcterms:modified xsi:type="dcterms:W3CDTF">2026-08-26T08:43:01Z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0x010100A15CBA594B39ED48BA73E1CD150C5B62</vt:lpwstr>
  </property>
  <property fmtid="{D5CDD505-2E9C-101B-9397-08002B2CF9AE}" pid="3" name="CCMIsSharedOnOneDrive">
    <vt:bool>false</vt:bool>
  </property>
  <property fmtid="{D5CDD505-2E9C-101B-9397-08002B2CF9AE}" pid="4" name="CCMOneDriveID">
    <vt:lpwstr/>
  </property>
  <property fmtid="{D5CDD505-2E9C-101B-9397-08002B2CF9AE}" pid="5" name="CCMOneDriveOwnerID">
    <vt:lpwstr/>
  </property>
  <property fmtid="{D5CDD505-2E9C-101B-9397-08002B2CF9AE}" pid="6" name="CCMOneDriveItemID">
    <vt:lpwstr/>
  </property>
  <property fmtid="{D5CDD505-2E9C-101B-9397-08002B2CF9AE}" pid="7" name="xd_Signature">
    <vt:bool>false</vt:bool>
  </property>
  <property fmtid="{D5CDD505-2E9C-101B-9397-08002B2CF9AE}" pid="8" name="CCMPostListPublishStatus">
    <vt:lpwstr>Afventer godkendelse</vt:lpwstr>
  </property>
  <property fmtid="{D5CDD505-2E9C-101B-9397-08002B2CF9AE}" pid="9" name="CCMMustBeOnPostList">
    <vt:bool>true</vt:bool>
  </property>
  <property fmtid="{D5CDD505-2E9C-101B-9397-08002B2CF9AE}" pid="10" name="CCMSystem">
    <vt:lpwstr> </vt:lpwstr>
  </property>
  <property fmtid="{D5CDD505-2E9C-101B-9397-08002B2CF9AE}" pid="11" name="CCMEventContext">
    <vt:lpwstr>2599b30e-2706-42df-bf6a-cda86d42dbc6</vt:lpwstr>
  </property>
  <property fmtid="{D5CDD505-2E9C-101B-9397-08002B2CF9AE}" pid="12" name="CCMCommunication">
    <vt:lpwstr/>
  </property>
  <property fmtid="{D5CDD505-2E9C-101B-9397-08002B2CF9AE}" pid="13" name="ice4b73aaa5c45b2a741539642cf40d2">
    <vt:lpwstr>Rådgivning og specialopgaver|a7a38320-b386-4602-87de-1841de70cc47</vt:lpwstr>
  </property>
  <property fmtid="{D5CDD505-2E9C-101B-9397-08002B2CF9AE}" pid="14" name="k7913c702e014fddaf1908da428f2c07">
    <vt:lpwstr>2026|7c05b92d-3e74-4c06-b019-17dd7689019b</vt:lpwstr>
  </property>
  <property fmtid="{D5CDD505-2E9C-101B-9397-08002B2CF9AE}" pid="15" name="TaxCatchAll">
    <vt:lpwstr>5;#2026|7c05b92d-3e74-4c06-b019-17dd7689019b;#4;#Rådgivning og specialopgaver|a7a38320-b386-4602-87de-1841de70cc47</vt:lpwstr>
  </property>
  <property fmtid="{D5CDD505-2E9C-101B-9397-08002B2CF9AE}" pid="16" name="BDOP_Category">
    <vt:lpwstr>4;#Rådgivning og specialopgaver|a7a38320-b386-4602-87de-1841de70cc47</vt:lpwstr>
  </property>
  <property fmtid="{D5CDD505-2E9C-101B-9397-08002B2CF9AE}" pid="17" name="BDOP_Year">
    <vt:lpwstr>5;#2026|7c05b92d-3e74-4c06-b019-17dd7689019b</vt:lpwstr>
  </property>
  <property fmtid="{D5CDD505-2E9C-101B-9397-08002B2CF9AE}" pid="18" name="BDOP_CustomerNumber">
    <vt:lpwstr>9045</vt:lpwstr>
  </property>
  <property fmtid="{D5CDD505-2E9C-101B-9397-08002B2CF9AE}" pid="19" name="BDOP_CustomerTitle">
    <vt:lpwstr>KL</vt:lpwstr>
  </property>
  <property fmtid="{D5CDD505-2E9C-101B-9397-08002B2CF9AE}" pid="20" name="BDOP_CustomerName">
    <vt:lpwstr>KL</vt:lpwstr>
  </property>
  <property fmtid="{D5CDD505-2E9C-101B-9397-08002B2CF9AE}" pid="21" name="BDOP_IsMasterArchive">
    <vt:bool>false</vt:bool>
  </property>
</Properties>
</file>