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Denne_projektmappe"/>
  <xr:revisionPtr revIDLastSave="0" documentId="13_ncr:1_{27D507C6-53B3-4FA7-8D63-1E394A7F70D4}" xr6:coauthVersionLast="47" xr6:coauthVersionMax="47" xr10:uidLastSave="{00000000-0000-0000-0000-000000000000}"/>
  <bookViews>
    <workbookView xWindow="4515" yWindow="1545" windowWidth="28800" windowHeight="15285" tabRatio="715" activeTab="1" xr2:uid="{00000000-000D-0000-FFFF-FFFF00000000}"/>
  </bookViews>
  <sheets>
    <sheet name="Forside" sheetId="12" r:id="rId1"/>
    <sheet name="Omkostninger" sheetId="1" r:id="rId2"/>
    <sheet name="Fordelingsnøgler" sheetId="5" r:id="rId3"/>
    <sheet name="Enheder" sheetId="11" r:id="rId4"/>
    <sheet name="Beregning af døgntakst" sheetId="14" r:id="rId5"/>
    <sheet name="Omkostningsdefinition" sheetId="10" r:id="rId6"/>
    <sheet name="PL" sheetId="8" r:id="rId7"/>
    <sheet name="Tjekliste" sheetId="13" r:id="rId8"/>
  </sheet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4" l="1"/>
  <c r="C15" i="11"/>
  <c r="E15" i="11"/>
  <c r="E16" i="14"/>
  <c r="I16" i="14" s="1"/>
  <c r="E15" i="14"/>
  <c r="I15" i="14" s="1"/>
  <c r="E14" i="14"/>
  <c r="L14" i="14" s="1"/>
  <c r="E13" i="14"/>
  <c r="G13" i="14" s="1"/>
  <c r="E12" i="14"/>
  <c r="E11" i="14"/>
  <c r="E10" i="14"/>
  <c r="B17" i="14"/>
  <c r="B14" i="14"/>
  <c r="C7" i="8"/>
  <c r="C9" i="14" l="1"/>
  <c r="H16" i="14"/>
  <c r="I13" i="14"/>
  <c r="L15" i="14"/>
  <c r="G16" i="14"/>
  <c r="F16" i="14"/>
  <c r="F14" i="14"/>
  <c r="J13" i="14"/>
  <c r="H13" i="14"/>
  <c r="L16" i="14"/>
  <c r="H15" i="14"/>
  <c r="F13" i="14"/>
  <c r="J15" i="14"/>
  <c r="K15" i="14"/>
  <c r="J14" i="14"/>
  <c r="K14" i="14"/>
  <c r="G15" i="14"/>
  <c r="K16" i="14"/>
  <c r="F15" i="14"/>
  <c r="I14" i="14"/>
  <c r="K13" i="14"/>
  <c r="J16" i="14"/>
  <c r="H14" i="14"/>
  <c r="L13" i="14"/>
  <c r="G14" i="14"/>
  <c r="L15" i="8" l="1"/>
  <c r="K15" i="8" s="1"/>
  <c r="J15" i="8" s="1"/>
  <c r="I15" i="8" s="1"/>
  <c r="H15" i="8" s="1"/>
  <c r="G15" i="8" s="1"/>
  <c r="K14" i="8"/>
  <c r="J14" i="8" s="1"/>
  <c r="I14" i="8" s="1"/>
  <c r="H14" i="8" s="1"/>
  <c r="J13" i="8"/>
  <c r="I13" i="8" s="1"/>
  <c r="H13" i="8" s="1"/>
  <c r="G13" i="8" s="1"/>
  <c r="F13" i="8" s="1"/>
  <c r="I12" i="8"/>
  <c r="H12" i="8" s="1"/>
  <c r="G12" i="8" s="1"/>
  <c r="F12" i="8" s="1"/>
  <c r="E12" i="8" s="1"/>
  <c r="D12" i="8" s="1"/>
  <c r="C12" i="8" s="1"/>
  <c r="E9" i="8"/>
  <c r="D9" i="8"/>
  <c r="C9" i="8"/>
  <c r="L6" i="8"/>
  <c r="L7" i="8"/>
  <c r="L8" i="8"/>
  <c r="L9" i="8"/>
  <c r="L10" i="8"/>
  <c r="L11" i="8"/>
  <c r="L12" i="8"/>
  <c r="L13" i="8"/>
  <c r="L14" i="8"/>
  <c r="K13" i="8"/>
  <c r="K12" i="8"/>
  <c r="K11" i="8"/>
  <c r="K10" i="8"/>
  <c r="K9" i="8"/>
  <c r="K8" i="8"/>
  <c r="K7" i="8"/>
  <c r="K6" i="8"/>
  <c r="J6" i="8"/>
  <c r="J7" i="8"/>
  <c r="J8" i="8"/>
  <c r="J9" i="8"/>
  <c r="J10" i="8"/>
  <c r="J12" i="8"/>
  <c r="J11" i="8"/>
  <c r="I11" i="8"/>
  <c r="I10" i="8"/>
  <c r="I9" i="8"/>
  <c r="I8" i="8"/>
  <c r="I7" i="8"/>
  <c r="I6" i="8"/>
  <c r="G11" i="8"/>
  <c r="F11" i="8" s="1"/>
  <c r="E11" i="8" s="1"/>
  <c r="D11" i="8" s="1"/>
  <c r="C11" i="8" s="1"/>
  <c r="H10" i="8"/>
  <c r="F10" i="8"/>
  <c r="E10" i="8" s="1"/>
  <c r="D10" i="8" s="1"/>
  <c r="C10" i="8" s="1"/>
  <c r="G9" i="8"/>
  <c r="H9" i="8" s="1"/>
  <c r="F8" i="8"/>
  <c r="G8" i="8" s="1"/>
  <c r="H8" i="8" s="1"/>
  <c r="D8" i="8"/>
  <c r="C8" i="8"/>
  <c r="E7" i="8"/>
  <c r="F7" i="8" s="1"/>
  <c r="G7" i="8" s="1"/>
  <c r="H7" i="8" s="1"/>
  <c r="D6" i="8"/>
  <c r="E6" i="8" s="1"/>
  <c r="F6" i="8" s="1"/>
  <c r="G6" i="8" s="1"/>
  <c r="H6" i="8" s="1"/>
  <c r="F15" i="8" l="1"/>
  <c r="E15" i="8" s="1"/>
  <c r="D15" i="8" s="1"/>
  <c r="C15" i="8" s="1"/>
  <c r="G14" i="8"/>
  <c r="F14" i="8" s="1"/>
  <c r="E14" i="8" s="1"/>
  <c r="D14" i="8" s="1"/>
  <c r="C14" i="8" s="1"/>
  <c r="E13" i="8"/>
  <c r="D13" i="8" s="1"/>
  <c r="C13" i="8" s="1"/>
  <c r="C7" i="11"/>
  <c r="B7" i="11"/>
  <c r="D15" i="11"/>
  <c r="C4" i="14"/>
  <c r="C6" i="14" s="1"/>
  <c r="L11" i="14" l="1"/>
  <c r="L10" i="14"/>
  <c r="L12" i="14"/>
  <c r="E3" i="14" l="1"/>
  <c r="B12" i="14"/>
  <c r="B13" i="14"/>
  <c r="B15" i="14"/>
  <c r="B16" i="14"/>
  <c r="B11" i="14"/>
  <c r="D10" i="5"/>
  <c r="P6" i="1" l="1"/>
  <c r="P5"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7" i="1"/>
  <c r="H40" i="1"/>
  <c r="R40" i="1" s="1"/>
  <c r="H41" i="1"/>
  <c r="U41" i="1" s="1"/>
  <c r="H42" i="1"/>
  <c r="T42" i="1" s="1"/>
  <c r="H37" i="1"/>
  <c r="S37" i="1" s="1"/>
  <c r="H38" i="1"/>
  <c r="R38" i="1" s="1"/>
  <c r="H39" i="1"/>
  <c r="H9" i="1"/>
  <c r="H10" i="1"/>
  <c r="U10" i="1" s="1"/>
  <c r="H11" i="1"/>
  <c r="H12" i="1"/>
  <c r="H13" i="1"/>
  <c r="U13" i="1" s="1"/>
  <c r="H14" i="1"/>
  <c r="H15" i="1"/>
  <c r="H16" i="1"/>
  <c r="H17" i="1"/>
  <c r="R17" i="1" s="1"/>
  <c r="H18" i="1"/>
  <c r="H19" i="1"/>
  <c r="H20" i="1"/>
  <c r="T20" i="1" s="1"/>
  <c r="H21" i="1"/>
  <c r="S21" i="1" s="1"/>
  <c r="H22" i="1"/>
  <c r="R22" i="1" s="1"/>
  <c r="H23" i="1"/>
  <c r="H24" i="1"/>
  <c r="U24" i="1" s="1"/>
  <c r="H25" i="1"/>
  <c r="T25" i="1" s="1"/>
  <c r="H26" i="1"/>
  <c r="S26" i="1" s="1"/>
  <c r="H27" i="1"/>
  <c r="H28" i="1"/>
  <c r="R28" i="1" s="1"/>
  <c r="H29" i="1"/>
  <c r="U29" i="1" s="1"/>
  <c r="H30" i="1"/>
  <c r="T30" i="1" s="1"/>
  <c r="H31" i="1"/>
  <c r="H32" i="1"/>
  <c r="S32" i="1" s="1"/>
  <c r="H33" i="1"/>
  <c r="R33" i="1" s="1"/>
  <c r="H34" i="1"/>
  <c r="U34" i="1" s="1"/>
  <c r="H35" i="1"/>
  <c r="H36" i="1"/>
  <c r="T36" i="1" s="1"/>
  <c r="H8" i="1"/>
  <c r="S16" i="1" l="1"/>
  <c r="C13" i="14"/>
  <c r="Q9" i="1"/>
  <c r="C11" i="14"/>
  <c r="C12" i="14"/>
  <c r="Q8" i="1"/>
  <c r="U18" i="1"/>
  <c r="U8" i="1"/>
  <c r="R12" i="1"/>
  <c r="T14" i="1"/>
  <c r="T8" i="1"/>
  <c r="T10" i="1"/>
  <c r="T9" i="1"/>
  <c r="Q10" i="1"/>
  <c r="S12" i="1"/>
  <c r="R13" i="1"/>
  <c r="Q14" i="1"/>
  <c r="U14" i="1"/>
  <c r="T16" i="1"/>
  <c r="S17" i="1"/>
  <c r="R18" i="1"/>
  <c r="Q20" i="1"/>
  <c r="U20" i="1"/>
  <c r="T21" i="1"/>
  <c r="S22" i="1"/>
  <c r="R24" i="1"/>
  <c r="Q25" i="1"/>
  <c r="U25" i="1"/>
  <c r="T26" i="1"/>
  <c r="S28" i="1"/>
  <c r="R29" i="1"/>
  <c r="Q30" i="1"/>
  <c r="U30" i="1"/>
  <c r="T32" i="1"/>
  <c r="S33" i="1"/>
  <c r="R34" i="1"/>
  <c r="Q36" i="1"/>
  <c r="U36" i="1"/>
  <c r="T37" i="1"/>
  <c r="S38" i="1"/>
  <c r="S40" i="1"/>
  <c r="R41" i="1"/>
  <c r="Q42" i="1"/>
  <c r="U42" i="1"/>
  <c r="S8" i="1"/>
  <c r="S10" i="1"/>
  <c r="S9" i="1"/>
  <c r="T12" i="1"/>
  <c r="S13" i="1"/>
  <c r="R14" i="1"/>
  <c r="Q16" i="1"/>
  <c r="U16" i="1"/>
  <c r="T17" i="1"/>
  <c r="S18" i="1"/>
  <c r="R20" i="1"/>
  <c r="Q21" i="1"/>
  <c r="U21" i="1"/>
  <c r="T22" i="1"/>
  <c r="S24" i="1"/>
  <c r="R25" i="1"/>
  <c r="Q26" i="1"/>
  <c r="U26" i="1"/>
  <c r="T28" i="1"/>
  <c r="S29" i="1"/>
  <c r="R30" i="1"/>
  <c r="Q32" i="1"/>
  <c r="U32" i="1"/>
  <c r="T33" i="1"/>
  <c r="S34" i="1"/>
  <c r="R36" i="1"/>
  <c r="Q37" i="1"/>
  <c r="U37" i="1"/>
  <c r="T38" i="1"/>
  <c r="T40" i="1"/>
  <c r="S41" i="1"/>
  <c r="R42" i="1"/>
  <c r="R8" i="1"/>
  <c r="R10" i="1"/>
  <c r="R9" i="1"/>
  <c r="Q12" i="1"/>
  <c r="U12" i="1"/>
  <c r="T13" i="1"/>
  <c r="S14" i="1"/>
  <c r="R16" i="1"/>
  <c r="Q17" i="1"/>
  <c r="U17" i="1"/>
  <c r="T18" i="1"/>
  <c r="S20" i="1"/>
  <c r="R21" i="1"/>
  <c r="Q22" i="1"/>
  <c r="U22" i="1"/>
  <c r="T24" i="1"/>
  <c r="S25" i="1"/>
  <c r="R26" i="1"/>
  <c r="Q28" i="1"/>
  <c r="U28" i="1"/>
  <c r="T29" i="1"/>
  <c r="S30" i="1"/>
  <c r="R32" i="1"/>
  <c r="Q33" i="1"/>
  <c r="U33" i="1"/>
  <c r="T34" i="1"/>
  <c r="S36" i="1"/>
  <c r="R37" i="1"/>
  <c r="Q38" i="1"/>
  <c r="U38" i="1"/>
  <c r="Q40" i="1"/>
  <c r="U40" i="1"/>
  <c r="T41" i="1"/>
  <c r="S42" i="1"/>
  <c r="U9" i="1"/>
  <c r="Q13" i="1"/>
  <c r="Q18" i="1"/>
  <c r="Q24" i="1"/>
  <c r="Q29" i="1"/>
  <c r="Q34" i="1"/>
  <c r="Q41" i="1"/>
  <c r="F5" i="14" l="1"/>
  <c r="F17" i="14" s="1"/>
  <c r="H5" i="14"/>
  <c r="H28" i="14" s="1"/>
  <c r="I5" i="14"/>
  <c r="I28" i="14" s="1"/>
  <c r="G5" i="14"/>
  <c r="G28" i="14" s="1"/>
  <c r="J5" i="14"/>
  <c r="J28" i="14" s="1"/>
  <c r="C14" i="14"/>
  <c r="H7" i="1"/>
  <c r="C2" i="1" s="1"/>
  <c r="F28" i="14" l="1"/>
  <c r="K28" i="14" s="1"/>
  <c r="F10" i="14"/>
  <c r="F24" i="14" s="1"/>
  <c r="J11" i="14"/>
  <c r="J25" i="14" s="1"/>
  <c r="J12" i="14"/>
  <c r="J26" i="14" s="1"/>
  <c r="J10" i="14"/>
  <c r="J24" i="14" s="1"/>
  <c r="J17" i="14"/>
  <c r="G11" i="14"/>
  <c r="G25" i="14" s="1"/>
  <c r="G10" i="14"/>
  <c r="G24" i="14" s="1"/>
  <c r="G17" i="14"/>
  <c r="G12" i="14"/>
  <c r="G26" i="14" s="1"/>
  <c r="I12" i="14"/>
  <c r="I26" i="14" s="1"/>
  <c r="I11" i="14"/>
  <c r="I25" i="14" s="1"/>
  <c r="I17" i="14"/>
  <c r="I10" i="14"/>
  <c r="I24" i="14" s="1"/>
  <c r="H12" i="14"/>
  <c r="H26" i="14" s="1"/>
  <c r="H17" i="14"/>
  <c r="H10" i="14"/>
  <c r="H24" i="14" s="1"/>
  <c r="H11" i="14"/>
  <c r="H25" i="14" s="1"/>
  <c r="F12" i="14"/>
  <c r="F26" i="14" s="1"/>
  <c r="F11" i="14"/>
  <c r="F25" i="14" s="1"/>
  <c r="K5" i="14"/>
  <c r="C15" i="14"/>
  <c r="C16" i="14" s="1"/>
  <c r="K26" i="14" l="1"/>
  <c r="K25" i="14"/>
  <c r="K24" i="14"/>
  <c r="I27" i="14"/>
  <c r="I29" i="14" s="1"/>
  <c r="F27" i="14"/>
  <c r="G27" i="14"/>
  <c r="G29" i="14" s="1"/>
  <c r="H27" i="14"/>
  <c r="H29" i="14" s="1"/>
  <c r="J27" i="14"/>
  <c r="J29" i="14" s="1"/>
  <c r="K17" i="14"/>
  <c r="K10" i="14"/>
  <c r="K12" i="14"/>
  <c r="K11" i="14"/>
  <c r="C17" i="14"/>
  <c r="F29" i="14" l="1"/>
  <c r="K27" i="14"/>
  <c r="K29" i="14" s="1"/>
</calcChain>
</file>

<file path=xl/sharedStrings.xml><?xml version="1.0" encoding="utf-8"?>
<sst xmlns="http://schemas.openxmlformats.org/spreadsheetml/2006/main" count="425" uniqueCount="314">
  <si>
    <t>Beløb</t>
  </si>
  <si>
    <t>Fordelingsnøgle</t>
  </si>
  <si>
    <t>Ingen</t>
  </si>
  <si>
    <t>Nøgle 1</t>
  </si>
  <si>
    <t>Beløb i alt</t>
  </si>
  <si>
    <t>Beregn med fordelingsnøgle</t>
  </si>
  <si>
    <t>Kommentar</t>
  </si>
  <si>
    <t>Overhead</t>
  </si>
  <si>
    <t>Fordelingsnøgler</t>
  </si>
  <si>
    <t>Fordeling (%)</t>
  </si>
  <si>
    <t>Nøgle 2</t>
  </si>
  <si>
    <t xml:space="preserve">Nøglenr. </t>
  </si>
  <si>
    <t>Nøgletitel</t>
  </si>
  <si>
    <t>Nøgle 3</t>
  </si>
  <si>
    <t>Nøgle 4</t>
  </si>
  <si>
    <t>Nøgle 5</t>
  </si>
  <si>
    <t>Nøgle 6</t>
  </si>
  <si>
    <t>Nøgle 7</t>
  </si>
  <si>
    <t>Nøgle 8</t>
  </si>
  <si>
    <t>Nøgle 9</t>
  </si>
  <si>
    <t>Nøgle 10</t>
  </si>
  <si>
    <t>Nøgle 11</t>
  </si>
  <si>
    <t>Nøgle 12</t>
  </si>
  <si>
    <t>Nøgle 13</t>
  </si>
  <si>
    <t>Nøgle 14</t>
  </si>
  <si>
    <t>Nøgle 15</t>
  </si>
  <si>
    <t>Nøgle 16</t>
  </si>
  <si>
    <t>Nøgle 17</t>
  </si>
  <si>
    <t>Nøgle 18</t>
  </si>
  <si>
    <t>Nøgle 19</t>
  </si>
  <si>
    <t>Nøgle 20</t>
  </si>
  <si>
    <t>Nøgle 21</t>
  </si>
  <si>
    <t>Nøgle 22</t>
  </si>
  <si>
    <t>Nøgle 23</t>
  </si>
  <si>
    <t>Nøgle 24</t>
  </si>
  <si>
    <t>Nøgle 25</t>
  </si>
  <si>
    <t>Nøgle 26</t>
  </si>
  <si>
    <t>Nøgle 27</t>
  </si>
  <si>
    <t>Nøgle 28</t>
  </si>
  <si>
    <t>Nøgle 29</t>
  </si>
  <si>
    <t>Ja</t>
  </si>
  <si>
    <t>Dokumentation</t>
  </si>
  <si>
    <t>Udgiftskode (kontonummer, PSP element, Profitcenter eller lignende.)</t>
  </si>
  <si>
    <t>Kommentar/dokumentation henvisning</t>
  </si>
  <si>
    <t>Link til beregning</t>
  </si>
  <si>
    <t>PL</t>
  </si>
  <si>
    <t>Telefoner</t>
  </si>
  <si>
    <t>Direkte omkostning</t>
  </si>
  <si>
    <t>Indirekte omkostning</t>
  </si>
  <si>
    <t>Fællesomkostning</t>
  </si>
  <si>
    <t>Udgiftstype</t>
  </si>
  <si>
    <t>Definition</t>
  </si>
  <si>
    <t>Definition af omkostningstype</t>
  </si>
  <si>
    <t>De omkostninger, der kan relateres direkte til en given aktivitet, kaldes direkte omkostninger. De kan direkte henføres til aktiviteten og den tilsvarende omkostning. Dette gælder typisk for f.eks. tjenesteydelser samt materiale forbrug.</t>
  </si>
  <si>
    <t>De indirekte omkostninger er omkostninger, der ikke direkte kan henføres til den pågældende aktivitet. De indirekte omkostninger består af en række forskellige typer af omkostninger, som optræder som en udgift et andet sted i kommunens budget. Der er typisk tale om udgifter til eksempelvis lokaler, administration m.v.</t>
  </si>
  <si>
    <t xml:space="preserve">Fællesomkostninger dækker her over omkostninger, som både er forbundet med driften af hjemmeplejen, men også omfatter andre dele af driften af på ældreområdet – altså omkostninger, som skal fordeles mellem hjemmeplejen og andre driftsenheder. Det kan fx være ledelse, administration, uddannelsespuljer, APV-hjælpemidler eller hygiejne- og plejeartikler. </t>
  </si>
  <si>
    <t>Forside</t>
  </si>
  <si>
    <t>Tjekliste</t>
  </si>
  <si>
    <t>Ekstern vikarforbrug (sygepl.)</t>
  </si>
  <si>
    <t>Omkostningskategori</t>
  </si>
  <si>
    <t>Hvad er det?</t>
  </si>
  <si>
    <t>Hvor finder man det?</t>
  </si>
  <si>
    <t>Opmærksomhedspunkter</t>
  </si>
  <si>
    <t>PERSONALE</t>
  </si>
  <si>
    <t>Løn til plejepersonale</t>
  </si>
  <si>
    <t>Vikar - interne vikarer</t>
  </si>
  <si>
    <t>Lønomkostninger, såfremt vikarer konteres for sig</t>
  </si>
  <si>
    <t>Findes i økonomisystem eller lønsysstem</t>
  </si>
  <si>
    <t>Vikar - Eksterne vikarbureau</t>
  </si>
  <si>
    <t>Omkostninger til vikarer</t>
  </si>
  <si>
    <t>Økonomisystem - ofte eget kontonr. (art: serviceydelse)</t>
  </si>
  <si>
    <t>Omkostninger til løn til puljeansatte såfremt dette er relevant</t>
  </si>
  <si>
    <t>Ofte særskilt kontering</t>
  </si>
  <si>
    <t>PERSONALERELATEREDE UDGIFTER</t>
  </si>
  <si>
    <t>Beklædning</t>
  </si>
  <si>
    <t>Ansvarsforsikring</t>
  </si>
  <si>
    <t>Forsikring (selvforsikring), der fx dækker hvis en medarbejder ødelægger noget i borgers hjem o.l.</t>
  </si>
  <si>
    <t>Hvis selvforsikring, skal omkostningen beregnes</t>
  </si>
  <si>
    <t>Arbejdsskadeforsikring</t>
  </si>
  <si>
    <t>Lovpligtig forsikring, der sikrer alle ansatte eller deres efterladte erstatning for ulykke eller sygdom, der skyldes arbejdet eller arbejdsforhold</t>
  </si>
  <si>
    <t>Hvis selvforsikring, skal omkostning beregnes</t>
  </si>
  <si>
    <t>Barselsudligning</t>
  </si>
  <si>
    <t xml:space="preserve">Afhængig af kommunens ordning og håndtering, kan det være fælles konto, via lønsystem eller direkte bogført. </t>
  </si>
  <si>
    <t>Det er ikke indtægten, men andel af de midler, som kommunen anvender til efterfølgende at udbetale til kompensation</t>
  </si>
  <si>
    <t>Uddannelse og kurser</t>
  </si>
  <si>
    <t>Udgifter til uddannelse og kursusafgifter</t>
  </si>
  <si>
    <t>Økonomisystem</t>
  </si>
  <si>
    <t>Kontorhold</t>
  </si>
  <si>
    <t>Diverse udgifter til fx printer, papir o.l.</t>
  </si>
  <si>
    <t>Møder og forplejning</t>
  </si>
  <si>
    <t>Diverse udgifter fx ifbm afholdelse af møder såsom kaffe og frokost o.l.</t>
  </si>
  <si>
    <t>Aktivitetsmateriale/ driftsmidler</t>
  </si>
  <si>
    <t>Fx mindre anskaffelser</t>
  </si>
  <si>
    <t>Hygiejneartikler / sygeplejeartikler</t>
  </si>
  <si>
    <t>Kunne være engangshandsker, wipes o.l.</t>
  </si>
  <si>
    <t>APV-redskaber</t>
  </si>
  <si>
    <t>Omkostninger til de hjælpemidler som medarbejderne har til rådighed for at kunne sikre at arbejdet udføres i overensstemmelse med arbejdsmiljøregler</t>
  </si>
  <si>
    <t>IT - FORBRUG, INDKØB OG DRIFT</t>
  </si>
  <si>
    <t>Telefon- /dataabonnoment</t>
  </si>
  <si>
    <t>Abonnoment for telefoni og data på hjemmeplejens devices</t>
  </si>
  <si>
    <t>Diverse vedligehold og tilbehør</t>
  </si>
  <si>
    <t>Indkøb af telefoner og ipads</t>
  </si>
  <si>
    <t>Nye devices</t>
  </si>
  <si>
    <t>Større anskaffelser (+100.000) vil skulle indregnes som aktiv og dermed indgå som en beregnet omkostning</t>
  </si>
  <si>
    <t>Computer (indkøb og licenser)</t>
  </si>
  <si>
    <t>Nogle kommuner arbejder med enhedspriser fastsat fra fx IT-afdelingen, der står for alle udgifter og opkræver en enhedsomkostninger</t>
  </si>
  <si>
    <t>Økonomisystem / IT-afdeling</t>
  </si>
  <si>
    <t>Computer og it-udstyr</t>
  </si>
  <si>
    <t>Indkøb og anskaffelser af PC'er og it-udstyr</t>
  </si>
  <si>
    <t>IT-programmer / licenser</t>
  </si>
  <si>
    <t>Omkostninger til licenser for de programmer, der anvendes af hjemmeplejens medarbejdere</t>
  </si>
  <si>
    <t>Andel af de omkostninger, der udgør IT-infrastruktur (Wifi og LAN)</t>
  </si>
  <si>
    <t>IT-support</t>
  </si>
  <si>
    <t>Andel af den IT-support som kommunen stiller til rådighed for medarbejdere i hjemmeplejen</t>
  </si>
  <si>
    <t xml:space="preserve">Befordringsgodtgørelse </t>
  </si>
  <si>
    <t>Hvor medarbejderne selv har lagt bil til, betales befordringsgodtgørelse.</t>
  </si>
  <si>
    <t>Befordringsgodtgørelse - disse findes som lønart i lønssystem</t>
  </si>
  <si>
    <t>El, vand, varme og renovation m.m.</t>
  </si>
  <si>
    <t>Udgifter (andel) til el, vand, varme og renovation m.m.</t>
  </si>
  <si>
    <t>Elever (alt efter organisering)</t>
  </si>
  <si>
    <t>Omkostning vil afhænge af ordning for håndtering af elever for kommunale og private elever</t>
  </si>
  <si>
    <t>LEDELSE &amp; ADMINISTRATION</t>
  </si>
  <si>
    <t>Ledelse (lokal)</t>
  </si>
  <si>
    <t>Økonomisystem og/eller lønsysstem</t>
  </si>
  <si>
    <t>Administration (lokal)</t>
  </si>
  <si>
    <t>Diverse driftsmidler</t>
  </si>
  <si>
    <t>LEDELSE (FÆLLES OMKOSTNING)</t>
  </si>
  <si>
    <t>OVERHEAD (Kommune - niveau)</t>
  </si>
  <si>
    <t>Omkostningsposter</t>
  </si>
  <si>
    <t>Nøgle 30</t>
  </si>
  <si>
    <t>Definitioner</t>
  </si>
  <si>
    <t>2021-PL</t>
  </si>
  <si>
    <t>2022-PL</t>
  </si>
  <si>
    <t>2023-PL</t>
  </si>
  <si>
    <t>År</t>
  </si>
  <si>
    <t>Kommune:</t>
  </si>
  <si>
    <t>Dato:</t>
  </si>
  <si>
    <t>Enheder</t>
  </si>
  <si>
    <t>Omkostninger</t>
  </si>
  <si>
    <t>PL år</t>
  </si>
  <si>
    <t>Alle omkostninger til løn (inkl. pensionsbidrag, arbejdstidsbestemte tillæg, feriepenge og evt. overarbejde mv.)</t>
  </si>
  <si>
    <t>Findes i økonomisystem og/eller lønsysstem</t>
  </si>
  <si>
    <t>At alle lønomkostninger medtages, herunder om andel til diverse forsikringer og ordninger indgår fx ATP, AES, AUB o.l.</t>
  </si>
  <si>
    <t>Udgifter til arbejstøj/beklædning for plejehjemmets personale. Enten som udgift til leverandør eller tillæg til medarbejdere</t>
  </si>
  <si>
    <t>Økonomisystem eller evt. lønsystem</t>
  </si>
  <si>
    <t xml:space="preserve">Diverse personalerelaterede goder </t>
  </si>
  <si>
    <t>Diverse udgifter relateret til medarbejdere, fx frugt, kaffe, sundhedsordning, tilskud til kantine o.l.)</t>
  </si>
  <si>
    <t>Findes i økonomisystem</t>
  </si>
  <si>
    <t>Omkostningen til at den kompensation, der ydes til det enkelte arbejdsplads for forskellen mellem barselsdagpengerefusion og lønudgift</t>
  </si>
  <si>
    <t>Flexrefusion</t>
  </si>
  <si>
    <t>Refusion til ansatte i flexjob-ordnng</t>
  </si>
  <si>
    <t>Kan allerede være taget højde for i lønsystemet</t>
  </si>
  <si>
    <t>Sygdomsrefusion</t>
  </si>
  <si>
    <t>Refusion til ansatte med sygdom</t>
  </si>
  <si>
    <t>Barselsrefusion</t>
  </si>
  <si>
    <t>Refusion til ansatte med barsel</t>
  </si>
  <si>
    <t>Øvrige refusioner</t>
  </si>
  <si>
    <t>Refusion til ansatte med andre refusion (f.eks. ressourceforløb og AKUT)</t>
  </si>
  <si>
    <t>DRIFTSMIDLER OG INVENTAR</t>
  </si>
  <si>
    <t>Kaldeanlæg og nødkald</t>
  </si>
  <si>
    <t>Inventar og specielt anskaffet udstyr</t>
  </si>
  <si>
    <t>Økonomisystem / anlægskartotek</t>
  </si>
  <si>
    <r>
      <t xml:space="preserve">Større anskaffelser </t>
    </r>
    <r>
      <rPr>
        <sz val="10"/>
        <color rgb="FFFF0000"/>
        <rFont val="Arial (brødtekst)"/>
      </rPr>
      <t>(+100.000</t>
    </r>
    <r>
      <rPr>
        <sz val="10"/>
        <rFont val="Arial (brødtekst)"/>
      </rPr>
      <t>) vil skulle indregnes som aktiv og dermed indgå som en del af de beregnet omkostning (forrentning og afskrivning)</t>
    </r>
  </si>
  <si>
    <t>Aktivitetsmateriale mm</t>
  </si>
  <si>
    <t>Fx reperationer af devices og materialer som kontorartikler, headset, panzerglas, cover, porto o.l.</t>
  </si>
  <si>
    <t>MADSERVICE - KØKKEN OG RÅVARER</t>
  </si>
  <si>
    <t>Føde- og råvarer</t>
  </si>
  <si>
    <t>Emballage</t>
  </si>
  <si>
    <t>Rengøringsartikler, vask af linned o.l.</t>
  </si>
  <si>
    <t>BYGNINGER (SERVICEAREALER)</t>
  </si>
  <si>
    <t>Husleje eller forrentning og afskrivning</t>
  </si>
  <si>
    <t>Udgifter til husleje, hvor dette betales, ellers beregning af omkostninger (afskrivning og forrentning af anlægskapital)</t>
  </si>
  <si>
    <t>Økonomisystem og beregning af afskrivning/forrentning</t>
  </si>
  <si>
    <t>Udgifter til drift af servicearealer, såsom andel af vedligeholdelsesudgifter og udgifter til rengøring heraf samt evt. vedligehold af udendørsarealer. Se i øvrigt bilag 2  i vejl. om afregning af friplejeboligleverandører - https://www.retsinformation.dk/eli/retsinfo/2017/10329#id70cdf2a4-1514-4edb-a48f-a331ea2800a3</t>
  </si>
  <si>
    <t>Plejehjemmet personale kan i nogle tilfælde selv varetage rengøring af lokaler, hvorfor omkostningen indgår under personaleudgifter</t>
  </si>
  <si>
    <t>Drift af nødkald og kaldeanlæg</t>
  </si>
  <si>
    <t>F.eks. udgifter til alarmcentral</t>
  </si>
  <si>
    <t>Andel af forsikringer for plejecentre - fx brand og husforsikring</t>
  </si>
  <si>
    <t>Plejehjemsleder</t>
  </si>
  <si>
    <t>Administrative medarbejdere på plejecenter eller for plejecenterområdet</t>
  </si>
  <si>
    <t>Omkostninger der afholdes samlet for området, men hvor plejehjemmet har en andel heraf</t>
  </si>
  <si>
    <t>Relevant andel af ledelse og administration på afdelingsniveau/plejeboligområdet</t>
  </si>
  <si>
    <t>Økonomisystem og specifik opgørelse</t>
  </si>
  <si>
    <t>Økonomi-stab inkl. tillæg til udstyr og administration</t>
  </si>
  <si>
    <t>Relevant andel for plejeboligområdets ressourcetræk</t>
  </si>
  <si>
    <t>Løn - HR-stab inkl. tillæg til udstyr og administration</t>
  </si>
  <si>
    <t>Udvikling og fællessekretariat inkl. tillæg til udstyr og administration</t>
  </si>
  <si>
    <t>It-afdeling inkl. tillæg til udstyr og administration</t>
  </si>
  <si>
    <t>Relevant andel for plejeboligområdets ressourcetræk - se i øvrigt under IT</t>
  </si>
  <si>
    <t>Forvaltningsledelse inklusiv direktører inkl. tillæg til udstyr og administration</t>
  </si>
  <si>
    <t>Tjenestmandspensioner</t>
  </si>
  <si>
    <t>VASK OG LINNED</t>
  </si>
  <si>
    <t>Omkostninger til betaling for beboernes vask af tøj og linned, ex personaleomkostninger heri - dette enten til ekstern leverandør eller beregnede forbrugsafgifter</t>
  </si>
  <si>
    <t>INDTÆGTER EGENBETALING - VASK OG LINNED</t>
  </si>
  <si>
    <t>Indtægter fra beboernes betaling af for servicepakke vask og linned</t>
  </si>
  <si>
    <t>TOILETARTIKLER</t>
  </si>
  <si>
    <t>RENGØRINGSARTIKLER</t>
  </si>
  <si>
    <t>INDTÆGTER EGENBETALING - rengøringsartikler</t>
  </si>
  <si>
    <t>Indtægter fra beboernes betaling af for servicepakke med rengøringsartikler</t>
  </si>
  <si>
    <t>INDTÆGTER EGENBETALING - toiletartikler</t>
  </si>
  <si>
    <t>Indtægter fra beboernes betaling af for servicepakke med toiletartikler</t>
  </si>
  <si>
    <t>Vægtning (budget/ressource)</t>
  </si>
  <si>
    <t>Samlet</t>
  </si>
  <si>
    <t>Beregning af takst</t>
  </si>
  <si>
    <t>Moms</t>
  </si>
  <si>
    <t>Plejeboligtakst</t>
  </si>
  <si>
    <t>Kompleks</t>
  </si>
  <si>
    <t>Madservice</t>
  </si>
  <si>
    <t>Sygepleje efter Sundhedsloven</t>
  </si>
  <si>
    <t>Fordeling af omkostninger ift. takst</t>
  </si>
  <si>
    <t>Plejepersonale</t>
  </si>
  <si>
    <t>Vikar</t>
  </si>
  <si>
    <t>Beregning</t>
  </si>
  <si>
    <t>Personale</t>
  </si>
  <si>
    <t>Personale relaterede udgifter</t>
  </si>
  <si>
    <t>Driftsmidler og inventar</t>
  </si>
  <si>
    <t>IT-forbrug, indkøb og drift</t>
  </si>
  <si>
    <t>Madservice - køkken og råvarer</t>
  </si>
  <si>
    <t>Bygninger (servicearealer)</t>
  </si>
  <si>
    <t>Ledelse og administration</t>
  </si>
  <si>
    <t>Ledelse (fælles omkostning)</t>
  </si>
  <si>
    <t>Service pakker</t>
  </si>
  <si>
    <t>2024-PL</t>
  </si>
  <si>
    <t>Afsæt for beregning</t>
  </si>
  <si>
    <t>Regnskab</t>
  </si>
  <si>
    <t>Løn til personale der ydelser sygepleje</t>
  </si>
  <si>
    <t>Såfremt løn til personale der ydelser sygepleje kan specificeres (inkl. pensionsbidrag, arbejdstidsbestemte tillæg, feriepenge og evt. overarbejde mv.)</t>
  </si>
  <si>
    <t>Såfremt løn til personale der levere træningsydelser kan specificeres (inkl. pensionsbidrag, arbejdstidsbestemte tillæg, feriepenge og evt. overarbejde mv.)</t>
  </si>
  <si>
    <t>Løn til personale forbeholdt Madserivce</t>
  </si>
  <si>
    <t>Såfremt løn til personale der er releteret til Madserivce kan specificeres (inkl. pensionsbidrag, arbejdstidsbestemte tillæg, feriepenge og evt. overarbejde mv.)</t>
  </si>
  <si>
    <t>Evt. puljeansatte / puljemidler</t>
  </si>
  <si>
    <t>Vedligehold og Rengøring af lokaler og evt. tilstødende udendørsarealer</t>
  </si>
  <si>
    <t>Løn - ejendomsadministration inkl. tillæg til udstyr og administration</t>
  </si>
  <si>
    <t>SERVICEPAKKER / INDTÆGTER</t>
  </si>
  <si>
    <t>INDTÆGTER - EGENBETALING FOR MADSERVICE</t>
  </si>
  <si>
    <t>Indtægter fra beboernes betaling af for Madservice</t>
  </si>
  <si>
    <t>2025-PL</t>
  </si>
  <si>
    <t>2026-PL</t>
  </si>
  <si>
    <t>2028-PL</t>
  </si>
  <si>
    <t>2027-PL</t>
  </si>
  <si>
    <t>2029-PL</t>
  </si>
  <si>
    <t>2030-PL</t>
  </si>
  <si>
    <t>Procent test</t>
  </si>
  <si>
    <t>Nej</t>
  </si>
  <si>
    <t>Årlige omkostninger</t>
  </si>
  <si>
    <t>Døgntakst pr. borger fordelt på takstkategorier (korrigeret for belægningsprocent)</t>
  </si>
  <si>
    <t>Driftsudgifter PLC vs. Hjemmesygeplejen</t>
  </si>
  <si>
    <t xml:space="preserve">Fordelingnøglen er fordelt ud fra et princip om antal årsværk. </t>
  </si>
  <si>
    <t>Registreret 67 telefoner og 38 bruges på PLC</t>
  </si>
  <si>
    <t>Gennemsnitstakst</t>
  </si>
  <si>
    <t>Ikke kompleks</t>
  </si>
  <si>
    <t>Skal pladsen vægtes?</t>
  </si>
  <si>
    <t>Personaleomkostninger for køkkenpersonale</t>
  </si>
  <si>
    <t>Personalerelaterede omkostninger</t>
  </si>
  <si>
    <t>Mmkostninger til det personale der producere madservice</t>
  </si>
  <si>
    <t>Omkostninger relateret denne personalegruppe</t>
  </si>
  <si>
    <t>Omkostninger de råvarer m.m. der indgår i madservice</t>
  </si>
  <si>
    <t>Emballage m.m. der indgår i produktion af madservice</t>
  </si>
  <si>
    <t>Køkkens omkostninger vask af vsikestykker mm. samt rengøringsartikler anvendt i køkken</t>
  </si>
  <si>
    <t>Diverse fx levnedsmiddelkontrol m.m.</t>
  </si>
  <si>
    <t>Ledelse og administration på plejeboligområdet (hvis fælles ledelse) samt ledelse og administration på afdelings-/forvaltningsniveau</t>
  </si>
  <si>
    <t>Beregnede omkostninger til tjenestemandspensioner, i det omfang der er pensionsforpligtigelser til tidligere ansatte på tjenestemandspension</t>
  </si>
  <si>
    <t>Omkostninger til indkøb af toiletartikler til beboere</t>
  </si>
  <si>
    <t>Omkostninger til indkøb af rengøringsartikler til beboere</t>
  </si>
  <si>
    <t>Forsikringer</t>
  </si>
  <si>
    <t>IT-netværk og infrastruktur</t>
  </si>
  <si>
    <t>Kunne være serviceaftaler o.l.</t>
  </si>
  <si>
    <t>Omkostninger til inventarer (ikke møbler) og speicelt udstyr for plejeboliger skal medtages - se eksempelvis bilag 1 i vejl. Om afregning af friplejeboligleverandører https://www.retsinformation.dk/eli/retsinfo/2017/10329#id70cdf2a4-1514-4edb-a48f-a331ea2800a3</t>
  </si>
  <si>
    <t>Omkostninger til aktivitet og arrangementer for beboerne</t>
  </si>
  <si>
    <t>Løn til personale der ydelser træningsydelser</t>
  </si>
  <si>
    <t>Specifik opgørelse via økonomisystem</t>
  </si>
  <si>
    <t xml:space="preserve">    Dokumentation for belægningsprocent eller opgørelse af pleje- og omsorgsforløb</t>
  </si>
  <si>
    <t>pr. døgn</t>
  </si>
  <si>
    <t>antal boliger</t>
  </si>
  <si>
    <t>belægningscpct</t>
  </si>
  <si>
    <t>forventet pct fordeling</t>
  </si>
  <si>
    <t>Julefrokost</t>
  </si>
  <si>
    <t>Kantineordning</t>
  </si>
  <si>
    <t>Printerpatroner</t>
  </si>
  <si>
    <t>Vælg type af enheder -&gt;</t>
  </si>
  <si>
    <t>Overhead, %</t>
  </si>
  <si>
    <t>Moms, %</t>
  </si>
  <si>
    <t>Pladser</t>
  </si>
  <si>
    <t>Udfyld belægningsprocent</t>
  </si>
  <si>
    <t>PL-indeks</t>
  </si>
  <si>
    <t>Beregnet af BDO</t>
  </si>
  <si>
    <t>2021-2022</t>
  </si>
  <si>
    <t>2022-2023</t>
  </si>
  <si>
    <t>2023-2024</t>
  </si>
  <si>
    <t>2024-2025</t>
  </si>
  <si>
    <t>2025-2026</t>
  </si>
  <si>
    <t>2026-2027</t>
  </si>
  <si>
    <t>2027-2028</t>
  </si>
  <si>
    <t>2028-2029</t>
  </si>
  <si>
    <t>2029-2030</t>
  </si>
  <si>
    <t>Kilde: Historisk PL - https://www.kl.dk/oekonomi-og-administration/oekonomi-og-styring/kommunal-oekonomi-a-z#pris-og-loenskoen-til-brug-for-budgetlaegningen-f5</t>
  </si>
  <si>
    <t>Omregnet vægt</t>
  </si>
  <si>
    <t>Antal døgn i året</t>
  </si>
  <si>
    <t>Indtast navn på type 1</t>
  </si>
  <si>
    <t>Indtast navn på type 2</t>
  </si>
  <si>
    <t>Indtast navn på type 3</t>
  </si>
  <si>
    <t>Tjek:</t>
  </si>
  <si>
    <t>Type 1 samlede omkostninger</t>
  </si>
  <si>
    <t>Type 2 samlede omkostninger</t>
  </si>
  <si>
    <t>Type 3 samlede omkostninger</t>
  </si>
  <si>
    <t>Samlede omkostninger, sum</t>
  </si>
  <si>
    <t>Faktiske samlede omkostninger</t>
  </si>
  <si>
    <t>Difference</t>
  </si>
  <si>
    <t>Træning ikke omfattet af helhedspleje</t>
  </si>
  <si>
    <t>Der henvises til vejledningen omkring beregning af moms</t>
  </si>
  <si>
    <t>Der henvises til bekendtgørelse for fastsættelse af overheadsats, for at sikre den aktuelt gældende</t>
  </si>
  <si>
    <t>Overbik</t>
  </si>
  <si>
    <t>varetaget af syge-plejersker</t>
  </si>
  <si>
    <t>Varetaget af SOSU-personale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</si>
</sst>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4" formatCode="_-* #,##0.00\ &quot;kr.&quot;_-;\-* #,##0.00\ &quot;kr.&quot;_-;_-* &quot;-&quot;??\ &quot;kr.&quot;_-;_-@_-"/>
    <numFmt numFmtId="43" formatCode="_-* #,##0.00_-;\-* #,##0.00_-;_-* &quot;-&quot;??_-;_-@_-"/>
    <numFmt numFmtId="164" formatCode="&quot;kr.&quot;\ #,##0;[Red]&quot;kr.&quot;\ \-#,##0"/>
    <numFmt numFmtId="165" formatCode="&quot;$&quot;#,##0_);[Red]\(&quot;$&quot;#,##0\)"/>
    <numFmt numFmtId="166" formatCode="0.0"/>
    <numFmt numFmtId="167" formatCode="0.000"/>
    <numFmt numFmtId="168" formatCode="_(* #,##0.00_);_(* \(#,##0.00\);_(* &quot;-&quot;??_);_(@_)"/>
    <numFmt numFmtId="169" formatCode="_-* #,##0_-;\-* #,##0_-;_-* &quot;-&quot;??_-;_-@_-"/>
    <numFmt numFmtId="170" formatCode="_-* #,##0.0_-;\-* #,##0.0_-;_-* &quot;-&quot;??_-;_-@_-"/>
    <numFmt numFmtId="171" formatCode="#,##0.00\ &quot;kr.&quot;"/>
    <numFmt numFmtId="172" formatCode="####"/>
    <numFmt numFmtId="173" formatCode="0.0%"/>
    <numFmt numFmtId="174" formatCode="_-* #,##0.0000_-;\-* #,##0.0000_-;_-* &quot;-&quot;??_-;_-@_-"/>
    <numFmt numFmtId="175" formatCode="0.0000"/>
    <numFmt numFmtId="176" formatCode="#,##0\ &quot;kr.&quot;"/>
  </numFmts>
  <fonts count="43">
    <font>
      <sz val="11"/>
      <name val="Calibri"/>
      <family val="2"/>
      <scheme val="minor"/>
    </font>
    <font>
      <sz val="11"/>
      <color theme="1"/>
      <name val="Calibri"/>
      <family val="2"/>
      <scheme val="minor"/>
    </font>
    <font>
      <sz val="11"/>
      <color theme="1"/>
      <name val="Calibri"/>
      <family val="2"/>
      <scheme val="minor"/>
    </font>
    <font>
      <sz val="8"/>
      <name val="Arial"/>
      <family val="2"/>
    </font>
    <font>
      <sz val="8"/>
      <name val="Calibri"/>
      <family val="2"/>
      <scheme val="minor"/>
    </font>
    <font>
      <b/>
      <sz val="16"/>
      <color theme="1"/>
      <name val="Calibri"/>
      <family val="2"/>
      <scheme val="major"/>
    </font>
    <font>
      <b/>
      <sz val="11"/>
      <name val="Calibri"/>
      <family val="2"/>
      <scheme val="minor"/>
    </font>
    <font>
      <b/>
      <sz val="11"/>
      <color theme="0"/>
      <name val="Calibri"/>
      <family val="2"/>
      <scheme val="minor"/>
    </font>
    <font>
      <sz val="11"/>
      <name val="Calibri"/>
      <family val="2"/>
      <scheme val="minor"/>
    </font>
    <font>
      <b/>
      <sz val="12"/>
      <color theme="1" tint="0.34998626667073579"/>
      <name val="Calibri"/>
      <family val="2"/>
      <scheme val="minor"/>
    </font>
    <font>
      <sz val="12"/>
      <color theme="1" tint="0.34998626667073579"/>
      <name val="Calibri"/>
      <family val="2"/>
      <scheme val="minor"/>
    </font>
    <font>
      <b/>
      <sz val="14"/>
      <color theme="1" tint="0.34998626667073579"/>
      <name val="Calibri"/>
      <family val="2"/>
      <scheme val="minor"/>
    </font>
    <font>
      <sz val="12"/>
      <color theme="1"/>
      <name val="Calibri"/>
      <family val="2"/>
      <scheme val="minor"/>
    </font>
    <font>
      <sz val="12"/>
      <color theme="9" tint="-0.24994659260841701"/>
      <name val="Calibri"/>
      <family val="2"/>
      <scheme val="major"/>
    </font>
    <font>
      <sz val="12"/>
      <color theme="1" tint="0.34998626667073579"/>
      <name val="Calibri"/>
      <scheme val="minor"/>
    </font>
    <font>
      <b/>
      <sz val="14"/>
      <color theme="9" tint="-0.24994659260841701"/>
      <name val="Calibri"/>
      <family val="2"/>
      <scheme val="major"/>
    </font>
    <font>
      <sz val="9"/>
      <color theme="1"/>
      <name val="Calibri"/>
      <family val="2"/>
      <scheme val="minor"/>
    </font>
    <font>
      <b/>
      <sz val="11"/>
      <color theme="9" tint="-0.24994659260841701"/>
      <name val="Calibri"/>
      <family val="2"/>
      <scheme val="major"/>
    </font>
    <font>
      <b/>
      <sz val="9"/>
      <color theme="1" tint="0.34998626667073579"/>
      <name val="Calibri"/>
      <family val="2"/>
      <scheme val="minor"/>
    </font>
    <font>
      <sz val="9"/>
      <color theme="1" tint="0.34998626667073579"/>
      <name val="Calibri"/>
      <family val="2"/>
      <scheme val="minor"/>
    </font>
    <font>
      <sz val="10"/>
      <color theme="1"/>
      <name val="Calibri"/>
      <family val="2"/>
      <scheme val="minor"/>
    </font>
    <font>
      <sz val="10"/>
      <name val="Arial"/>
      <family val="2"/>
    </font>
    <font>
      <sz val="11"/>
      <color indexed="8"/>
      <name val="Calibri"/>
      <family val="2"/>
    </font>
    <font>
      <sz val="12"/>
      <name val="Calibri"/>
      <family val="2"/>
      <scheme val="minor"/>
    </font>
    <font>
      <b/>
      <sz val="11"/>
      <color theme="1"/>
      <name val="Calibri"/>
      <family val="2"/>
      <scheme val="minor"/>
    </font>
    <font>
      <b/>
      <sz val="10"/>
      <name val="Arial (brødtekst)"/>
    </font>
    <font>
      <sz val="10"/>
      <name val="Arial (brødtekst)"/>
    </font>
    <font>
      <sz val="10"/>
      <name val="Trebuchet MS"/>
      <family val="2"/>
    </font>
    <font>
      <sz val="10"/>
      <color rgb="FFFF0000"/>
      <name val="Arial (brødtekst)"/>
    </font>
    <font>
      <i/>
      <sz val="11"/>
      <name val="Calibri"/>
      <family val="2"/>
      <scheme val="minor"/>
    </font>
    <font>
      <b/>
      <sz val="11"/>
      <color theme="1" tint="0.34998626667073579"/>
      <name val="Calibri"/>
      <family val="2"/>
      <scheme val="minor"/>
    </font>
    <font>
      <b/>
      <sz val="10"/>
      <color theme="1" tint="0.34998626667073579"/>
      <name val="Calibri"/>
      <family val="2"/>
      <scheme val="minor"/>
    </font>
    <font>
      <sz val="9"/>
      <name val="Calibri"/>
      <family val="2"/>
      <scheme val="minor"/>
    </font>
    <font>
      <sz val="11"/>
      <color theme="0"/>
      <name val="Calibri"/>
      <family val="2"/>
      <scheme val="minor"/>
    </font>
    <font>
      <sz val="11"/>
      <color theme="1"/>
      <name val="Calibri"/>
      <family val="2"/>
      <scheme val="major"/>
    </font>
    <font>
      <b/>
      <sz val="12"/>
      <color theme="1" tint="0.34998626667073579"/>
      <name val="Trebuchet MS"/>
      <family val="2"/>
    </font>
    <font>
      <b/>
      <sz val="10"/>
      <color theme="1" tint="0.34998626667073579"/>
      <name val="Trebuchet MS"/>
      <family val="2"/>
    </font>
    <font>
      <sz val="9"/>
      <color theme="1" tint="0.34998626667073579"/>
      <name val="Trebuchet MS"/>
      <family val="2"/>
    </font>
    <font>
      <b/>
      <sz val="14"/>
      <color theme="1" tint="0.34998626667073579"/>
      <name val="Trebuchet MS"/>
      <family val="2"/>
    </font>
    <font>
      <b/>
      <sz val="9"/>
      <color theme="1" tint="0.34998626667073579"/>
      <name val="Trebuchet MS"/>
      <family val="2"/>
    </font>
    <font>
      <b/>
      <sz val="11"/>
      <color theme="1" tint="0.34998626667073579"/>
      <name val="Calibri"/>
      <family val="2"/>
      <scheme val="major"/>
    </font>
    <font>
      <b/>
      <sz val="12"/>
      <name val="Calibri"/>
      <family val="2"/>
      <scheme val="minor"/>
    </font>
    <font>
      <sz val="10"/>
      <color rgb="FF006100"/>
      <name val="Trebuchet MS"/>
      <family val="2"/>
    </font>
  </fonts>
  <fills count="12">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2"/>
        <bgColor indexed="64"/>
      </patternFill>
    </fill>
    <fill>
      <patternFill patternType="solid">
        <fgColor theme="6" tint="0.79998168889431442"/>
        <bgColor indexed="64"/>
      </patternFill>
    </fill>
    <fill>
      <patternFill patternType="solid">
        <fgColor rgb="FFC6EFCE"/>
      </patternFill>
    </fill>
  </fills>
  <borders count="52">
    <border>
      <left/>
      <right/>
      <top/>
      <bottom/>
      <diagonal/>
    </border>
    <border>
      <left/>
      <right/>
      <top style="thin">
        <color theme="0"/>
      </top>
      <bottom style="thin">
        <color theme="4" tint="-0.499984740745262"/>
      </bottom>
      <diagonal/>
    </border>
    <border>
      <left style="thin">
        <color theme="4" tint="-0.499984740745262"/>
      </left>
      <right/>
      <top/>
      <bottom/>
      <diagonal/>
    </border>
    <border>
      <left/>
      <right style="thin">
        <color theme="4" tint="-0.499984740745262"/>
      </right>
      <top/>
      <bottom/>
      <diagonal/>
    </border>
    <border>
      <left/>
      <right/>
      <top/>
      <bottom style="thin">
        <color theme="4" tint="-0.499984740745262"/>
      </bottom>
      <diagonal/>
    </border>
    <border>
      <left/>
      <right/>
      <top style="thin">
        <color theme="4" tint="-0.499984740745262"/>
      </top>
      <bottom/>
      <diagonal/>
    </border>
    <border>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right/>
      <top/>
      <bottom style="thin">
        <color theme="0" tint="-0.14993743705557422"/>
      </bottom>
      <diagonal/>
    </border>
    <border>
      <left/>
      <right/>
      <top/>
      <bottom style="thin">
        <color theme="9" tint="-0.24994659260841701"/>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0" tint="-0.14993743705557422"/>
      </left>
      <right style="thin">
        <color theme="0" tint="-0.14993743705557422"/>
      </right>
      <top style="thin">
        <color theme="0" tint="-0.14993743705557422"/>
      </top>
      <bottom style="thin">
        <color rgb="FFD9D9D9"/>
      </bottom>
      <diagonal/>
    </border>
    <border>
      <left style="thin">
        <color rgb="FFD9D9D9"/>
      </left>
      <right/>
      <top style="thin">
        <color rgb="FF548235"/>
      </top>
      <bottom/>
      <diagonal/>
    </border>
    <border>
      <left style="thin">
        <color theme="0" tint="-0.14993743705557422"/>
      </left>
      <right style="thin">
        <color theme="0" tint="-0.14993743705557422"/>
      </right>
      <top style="thin">
        <color rgb="FF548235"/>
      </top>
      <bottom/>
      <diagonal/>
    </border>
    <border>
      <left style="thin">
        <color rgb="FFD9D9D9"/>
      </left>
      <right/>
      <top style="thin">
        <color theme="0" tint="-0.14993743705557422"/>
      </top>
      <bottom/>
      <diagonal/>
    </border>
    <border>
      <left style="thin">
        <color rgb="FFD9D9D9"/>
      </left>
      <right/>
      <top style="thin">
        <color theme="0" tint="-0.14993743705557422"/>
      </top>
      <bottom style="thin">
        <color rgb="FFD9D9D9"/>
      </bottom>
      <diagonal/>
    </border>
    <border>
      <left/>
      <right/>
      <top style="thin">
        <color theme="0" tint="-0.14993743705557422"/>
      </top>
      <bottom/>
      <diagonal/>
    </border>
    <border>
      <left/>
      <right/>
      <top style="thin">
        <color theme="6"/>
      </top>
      <bottom/>
      <diagonal/>
    </border>
    <border>
      <left/>
      <right/>
      <top style="thin">
        <color theme="0" tint="-0.14993743705557422"/>
      </top>
      <bottom style="thin">
        <color theme="0" tint="-0.14993743705557422"/>
      </bottom>
      <diagonal/>
    </border>
    <border>
      <left style="thin">
        <color theme="0" tint="-0.14999847407452621"/>
      </left>
      <right style="thin">
        <color theme="0" tint="-0.14993743705557422"/>
      </right>
      <top style="thin">
        <color theme="0" tint="-0.14999847407452621"/>
      </top>
      <bottom style="thin">
        <color theme="0" tint="-0.14993743705557422"/>
      </bottom>
      <diagonal/>
    </border>
    <border>
      <left style="thin">
        <color theme="0" tint="-0.14993743705557422"/>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style="thin">
        <color theme="0" tint="-0.14993743705557422"/>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diagonal/>
    </border>
    <border>
      <left style="thin">
        <color theme="0" tint="-0.14993743705557422"/>
      </left>
      <right style="thin">
        <color theme="0" tint="-0.14999847407452621"/>
      </right>
      <top style="thin">
        <color theme="0" tint="-0.14993743705557422"/>
      </top>
      <bottom style="thin">
        <color theme="0" tint="-0.149937437055574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3743705557422"/>
      </left>
      <right style="thin">
        <color theme="0" tint="-0.14993743705557422"/>
      </right>
      <top/>
      <bottom style="thin">
        <color theme="0" tint="-0.1499374370555742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right style="thin">
        <color theme="0" tint="-0.14993743705557422"/>
      </right>
      <top/>
      <bottom style="thin">
        <color theme="0" tint="-0.14993743705557422"/>
      </bottom>
      <diagonal/>
    </border>
    <border>
      <left style="thin">
        <color indexed="64"/>
      </left>
      <right style="thin">
        <color indexed="64"/>
      </right>
      <top style="thin">
        <color indexed="64"/>
      </top>
      <bottom style="thin">
        <color indexed="64"/>
      </bottom>
      <diagonal/>
    </border>
    <border>
      <left style="thin">
        <color theme="0" tint="-0.14993743705557422"/>
      </left>
      <right/>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3743705557422"/>
      </left>
      <right style="thin">
        <color theme="0" tint="-0.14999847407452621"/>
      </right>
      <top style="thin">
        <color theme="0" tint="-0.14999847407452621"/>
      </top>
      <bottom/>
      <diagonal/>
    </border>
    <border>
      <left style="thin">
        <color theme="0" tint="-0.14993743705557422"/>
      </left>
      <right style="thin">
        <color theme="0" tint="-0.14999847407452621"/>
      </right>
      <top style="thin">
        <color theme="0" tint="-0.14993743705557422"/>
      </top>
      <bottom/>
      <diagonal/>
    </border>
  </borders>
  <cellStyleXfs count="20">
    <xf numFmtId="0" fontId="0" fillId="0" borderId="0">
      <alignment vertical="center"/>
    </xf>
    <xf numFmtId="0" fontId="5" fillId="0" borderId="0" applyNumberFormat="0" applyFill="0" applyBorder="0" applyProtection="0">
      <alignment horizontal="left"/>
    </xf>
    <xf numFmtId="0" fontId="7" fillId="2" borderId="0" applyNumberFormat="0" applyProtection="0">
      <alignment horizontal="right" vertical="center"/>
    </xf>
    <xf numFmtId="0" fontId="7" fillId="2" borderId="0" applyNumberFormat="0" applyAlignment="0" applyProtection="0"/>
    <xf numFmtId="0" fontId="7" fillId="2" borderId="0" applyProtection="0">
      <alignment horizontal="center" vertical="center" wrapText="1"/>
    </xf>
    <xf numFmtId="165" fontId="6" fillId="3" borderId="1" applyProtection="0">
      <alignment vertical="center"/>
    </xf>
    <xf numFmtId="164" fontId="8" fillId="4" borderId="0" applyFont="0" applyAlignment="0">
      <alignment vertical="center"/>
    </xf>
    <xf numFmtId="164" fontId="8" fillId="0" borderId="0" applyFont="0" applyFill="0" applyBorder="0" applyAlignment="0">
      <alignment vertical="center" wrapText="1"/>
    </xf>
    <xf numFmtId="0" fontId="8" fillId="4" borderId="2" applyNumberFormat="0" applyFont="0" applyAlignment="0">
      <alignment vertical="center"/>
    </xf>
    <xf numFmtId="164" fontId="8" fillId="4" borderId="4" applyFont="0" applyFill="0" applyAlignment="0">
      <alignment vertical="center"/>
    </xf>
    <xf numFmtId="164" fontId="8" fillId="4" borderId="5" applyFont="0" applyFill="0" applyAlignment="0">
      <alignment vertical="center"/>
    </xf>
    <xf numFmtId="165" fontId="8" fillId="4" borderId="2" applyNumberFormat="0" applyFont="0" applyFill="0" applyAlignment="0">
      <alignment vertical="center"/>
    </xf>
    <xf numFmtId="164" fontId="8" fillId="4" borderId="3" applyFont="0" applyFill="0" applyAlignment="0">
      <alignment vertical="center"/>
    </xf>
    <xf numFmtId="9" fontId="8" fillId="0" borderId="0" applyFont="0" applyFill="0" applyBorder="0" applyAlignment="0" applyProtection="0"/>
    <xf numFmtId="44" fontId="8" fillId="0" borderId="0" applyFont="0" applyFill="0" applyBorder="0" applyAlignment="0" applyProtection="0"/>
    <xf numFmtId="0" fontId="21" fillId="0" borderId="0"/>
    <xf numFmtId="43" fontId="8" fillId="0" borderId="0" applyFont="0" applyFill="0" applyBorder="0" applyAlignment="0" applyProtection="0"/>
    <xf numFmtId="168" fontId="22" fillId="0" borderId="0" applyFont="0" applyFill="0" applyBorder="0" applyAlignment="0" applyProtection="0"/>
    <xf numFmtId="0" fontId="21" fillId="0" borderId="0"/>
    <xf numFmtId="0" fontId="42" fillId="11" borderId="0" applyNumberFormat="0" applyBorder="0" applyAlignment="0" applyProtection="0"/>
  </cellStyleXfs>
  <cellXfs count="208">
    <xf numFmtId="0" fontId="0" fillId="0" borderId="0" xfId="0">
      <alignment vertical="center"/>
    </xf>
    <xf numFmtId="0" fontId="4" fillId="0" borderId="0" xfId="0" applyFont="1" applyAlignment="1">
      <alignment vertical="center" wrapText="1"/>
    </xf>
    <xf numFmtId="164" fontId="9" fillId="5" borderId="0" xfId="9" applyFont="1" applyFill="1" applyBorder="1" applyAlignment="1">
      <alignment vertical="center"/>
    </xf>
    <xf numFmtId="0" fontId="13" fillId="5" borderId="10" xfId="0" applyFont="1" applyFill="1" applyBorder="1" applyAlignment="1">
      <alignment horizontal="left" vertical="center" indent="1"/>
    </xf>
    <xf numFmtId="164" fontId="11" fillId="5" borderId="0" xfId="9" applyFont="1" applyFill="1" applyBorder="1" applyAlignment="1">
      <alignment horizontal="center" vertical="center"/>
    </xf>
    <xf numFmtId="164" fontId="10" fillId="5" borderId="0" xfId="7" applyFont="1" applyFill="1" applyBorder="1" applyAlignment="1">
      <alignment horizontal="center" vertical="center" wrapText="1"/>
    </xf>
    <xf numFmtId="49" fontId="12" fillId="5" borderId="0" xfId="0" applyNumberFormat="1" applyFont="1" applyFill="1" applyAlignment="1">
      <alignment horizontal="left" vertical="center" wrapText="1" indent="1"/>
    </xf>
    <xf numFmtId="49" fontId="10" fillId="5" borderId="0" xfId="7" applyNumberFormat="1" applyFont="1" applyFill="1" applyBorder="1" applyAlignment="1">
      <alignment horizontal="center" vertical="center" wrapText="1"/>
    </xf>
    <xf numFmtId="49" fontId="10" fillId="5" borderId="0" xfId="7" applyNumberFormat="1" applyFont="1" applyFill="1" applyBorder="1" applyAlignment="1">
      <alignment horizontal="center" vertical="center"/>
    </xf>
    <xf numFmtId="49" fontId="14" fillId="5" borderId="0" xfId="7" applyNumberFormat="1" applyFont="1" applyFill="1" applyBorder="1" applyAlignment="1">
      <alignment horizontal="left" vertical="center" wrapText="1" indent="1"/>
    </xf>
    <xf numFmtId="164" fontId="14" fillId="5" borderId="0" xfId="7" applyFont="1" applyFill="1" applyBorder="1" applyAlignment="1">
      <alignment horizontal="left" vertical="center" indent="1"/>
    </xf>
    <xf numFmtId="0" fontId="17" fillId="5" borderId="10" xfId="0" applyFont="1" applyFill="1" applyBorder="1" applyAlignment="1">
      <alignment horizontal="left" vertical="center" indent="1"/>
    </xf>
    <xf numFmtId="0" fontId="18" fillId="5" borderId="9" xfId="4" applyFont="1" applyFill="1" applyBorder="1">
      <alignment horizontal="center" vertical="center" wrapText="1"/>
    </xf>
    <xf numFmtId="49" fontId="16" fillId="5" borderId="6" xfId="0" applyNumberFormat="1" applyFont="1" applyFill="1" applyBorder="1" applyAlignment="1">
      <alignment horizontal="left" vertical="center" wrapText="1" indent="1"/>
    </xf>
    <xf numFmtId="49" fontId="19" fillId="5" borderId="7" xfId="7" applyNumberFormat="1" applyFont="1" applyFill="1" applyBorder="1" applyAlignment="1">
      <alignment horizontal="center" vertical="center" wrapText="1"/>
    </xf>
    <xf numFmtId="49" fontId="19" fillId="5" borderId="8" xfId="7" applyNumberFormat="1" applyFont="1" applyFill="1" applyBorder="1" applyAlignment="1">
      <alignment horizontal="center" vertical="center"/>
    </xf>
    <xf numFmtId="49" fontId="19" fillId="5" borderId="7" xfId="7" applyNumberFormat="1" applyFont="1" applyFill="1" applyBorder="1" applyAlignment="1">
      <alignment horizontal="left" vertical="center" wrapText="1" indent="1"/>
    </xf>
    <xf numFmtId="44" fontId="19" fillId="5" borderId="7" xfId="14" applyFont="1" applyFill="1" applyBorder="1" applyAlignment="1">
      <alignment horizontal="center" vertical="center" wrapText="1"/>
    </xf>
    <xf numFmtId="0" fontId="10" fillId="5" borderId="0" xfId="7" applyNumberFormat="1" applyFont="1" applyFill="1" applyBorder="1" applyAlignment="1">
      <alignment horizontal="center" vertical="center" wrapText="1"/>
    </xf>
    <xf numFmtId="0" fontId="12" fillId="5" borderId="0" xfId="0" applyFont="1" applyFill="1" applyAlignment="1">
      <alignment horizontal="left" vertical="center" wrapText="1" indent="1"/>
    </xf>
    <xf numFmtId="0" fontId="17" fillId="5" borderId="0" xfId="0" applyFont="1" applyFill="1" applyAlignment="1">
      <alignment horizontal="left" vertical="center" indent="1"/>
    </xf>
    <xf numFmtId="0" fontId="13" fillId="5" borderId="0" xfId="0" applyFont="1" applyFill="1" applyAlignment="1">
      <alignment horizontal="left" vertical="center" indent="1"/>
    </xf>
    <xf numFmtId="166" fontId="19" fillId="5" borderId="0" xfId="7" applyNumberFormat="1" applyFont="1" applyFill="1" applyBorder="1" applyAlignment="1">
      <alignment horizontal="center" vertical="center" wrapText="1"/>
    </xf>
    <xf numFmtId="164" fontId="18" fillId="5" borderId="0" xfId="4" applyNumberFormat="1" applyFont="1" applyFill="1">
      <alignment horizontal="center" vertical="center" wrapText="1"/>
    </xf>
    <xf numFmtId="164" fontId="9" fillId="4" borderId="0" xfId="9" applyFont="1" applyFill="1" applyBorder="1" applyAlignment="1">
      <alignment horizontal="center" vertical="center"/>
    </xf>
    <xf numFmtId="164" fontId="9" fillId="6" borderId="0" xfId="9" applyFont="1" applyFill="1" applyBorder="1" applyAlignment="1">
      <alignment horizontal="center" vertical="center"/>
    </xf>
    <xf numFmtId="167" fontId="9" fillId="6" borderId="0" xfId="9" applyNumberFormat="1" applyFont="1" applyFill="1" applyBorder="1" applyAlignment="1">
      <alignment horizontal="center" vertical="center"/>
    </xf>
    <xf numFmtId="166" fontId="18" fillId="5" borderId="14" xfId="7" applyNumberFormat="1" applyFont="1" applyFill="1" applyBorder="1" applyAlignment="1">
      <alignment horizontal="center" vertical="center" wrapText="1"/>
    </xf>
    <xf numFmtId="0" fontId="18" fillId="5" borderId="15" xfId="13" applyNumberFormat="1" applyFont="1" applyFill="1" applyBorder="1" applyAlignment="1">
      <alignment horizontal="center" vertical="center" wrapText="1"/>
    </xf>
    <xf numFmtId="0" fontId="18" fillId="7" borderId="9" xfId="4" applyFont="1" applyFill="1" applyBorder="1">
      <alignment horizontal="center" vertical="center" wrapText="1"/>
    </xf>
    <xf numFmtId="44" fontId="19" fillId="7" borderId="8" xfId="14" applyFont="1" applyFill="1" applyBorder="1" applyAlignment="1">
      <alignment horizontal="left" vertical="center" indent="1"/>
    </xf>
    <xf numFmtId="166" fontId="0" fillId="0" borderId="0" xfId="0" applyNumberFormat="1">
      <alignment vertical="center"/>
    </xf>
    <xf numFmtId="0" fontId="18" fillId="5" borderId="19" xfId="4" applyFont="1" applyFill="1" applyBorder="1">
      <alignment horizontal="center" vertical="center" wrapText="1"/>
    </xf>
    <xf numFmtId="0" fontId="18" fillId="7" borderId="19" xfId="4" applyFont="1" applyFill="1" applyBorder="1">
      <alignment horizontal="center" vertical="center" wrapText="1"/>
    </xf>
    <xf numFmtId="49" fontId="20" fillId="5" borderId="18" xfId="0" applyNumberFormat="1" applyFont="1" applyFill="1" applyBorder="1" applyAlignment="1">
      <alignment horizontal="left" vertical="center" wrapText="1" indent="1"/>
    </xf>
    <xf numFmtId="49" fontId="20" fillId="7" borderId="12" xfId="0" applyNumberFormat="1" applyFont="1" applyFill="1" applyBorder="1" applyAlignment="1">
      <alignment horizontal="center" vertical="center" wrapText="1"/>
    </xf>
    <xf numFmtId="10" fontId="20" fillId="5" borderId="12" xfId="13" applyNumberFormat="1" applyFont="1" applyFill="1" applyBorder="1" applyAlignment="1">
      <alignment horizontal="right" vertical="center" wrapText="1"/>
    </xf>
    <xf numFmtId="49" fontId="20" fillId="5" borderId="12" xfId="0" applyNumberFormat="1" applyFont="1" applyFill="1" applyBorder="1" applyAlignment="1">
      <alignment horizontal="left" vertical="center" wrapText="1" indent="1"/>
    </xf>
    <xf numFmtId="49" fontId="20" fillId="5" borderId="11" xfId="0" applyNumberFormat="1" applyFont="1" applyFill="1" applyBorder="1" applyAlignment="1">
      <alignment horizontal="left" vertical="center" wrapText="1" indent="1"/>
    </xf>
    <xf numFmtId="9" fontId="20" fillId="5" borderId="12" xfId="13" applyFont="1" applyFill="1" applyBorder="1" applyAlignment="1">
      <alignment horizontal="right" vertical="center" wrapText="1"/>
    </xf>
    <xf numFmtId="49" fontId="20" fillId="5" borderId="20" xfId="0" applyNumberFormat="1" applyFont="1" applyFill="1" applyBorder="1" applyAlignment="1">
      <alignment horizontal="left" vertical="center" wrapText="1" indent="1"/>
    </xf>
    <xf numFmtId="9" fontId="20" fillId="5" borderId="8" xfId="13" applyFont="1" applyFill="1" applyBorder="1" applyAlignment="1">
      <alignment horizontal="right" vertical="center" wrapText="1"/>
    </xf>
    <xf numFmtId="49" fontId="20" fillId="5" borderId="8" xfId="0" applyNumberFormat="1" applyFont="1" applyFill="1" applyBorder="1" applyAlignment="1">
      <alignment horizontal="left" vertical="center" wrapText="1" indent="1"/>
    </xf>
    <xf numFmtId="49" fontId="20" fillId="5" borderId="7" xfId="0" applyNumberFormat="1" applyFont="1" applyFill="1" applyBorder="1" applyAlignment="1">
      <alignment horizontal="left" vertical="center" wrapText="1" indent="1"/>
    </xf>
    <xf numFmtId="0" fontId="18" fillId="5" borderId="0" xfId="4" applyFont="1" applyFill="1">
      <alignment horizontal="center" vertical="center" wrapText="1"/>
    </xf>
    <xf numFmtId="0" fontId="18" fillId="7" borderId="0" xfId="4" applyFont="1" applyFill="1">
      <alignment horizontal="center" vertical="center" wrapText="1"/>
    </xf>
    <xf numFmtId="169" fontId="19" fillId="5" borderId="12" xfId="16" applyNumberFormat="1" applyFont="1" applyFill="1" applyBorder="1" applyAlignment="1">
      <alignment horizontal="center" vertical="center" wrapText="1"/>
    </xf>
    <xf numFmtId="0" fontId="9" fillId="4" borderId="0" xfId="9" applyNumberFormat="1" applyFont="1" applyFill="1" applyBorder="1" applyAlignment="1">
      <alignment horizontal="center" vertical="center"/>
    </xf>
    <xf numFmtId="167" fontId="19" fillId="5" borderId="11" xfId="14" applyNumberFormat="1" applyFont="1" applyFill="1" applyBorder="1" applyAlignment="1">
      <alignment horizontal="center" vertical="center" wrapText="1"/>
    </xf>
    <xf numFmtId="167" fontId="19" fillId="5" borderId="13" xfId="14" applyNumberFormat="1" applyFont="1" applyFill="1" applyBorder="1" applyAlignment="1">
      <alignment horizontal="center" vertical="center" wrapText="1"/>
    </xf>
    <xf numFmtId="170" fontId="19" fillId="5" borderId="12" xfId="16" applyNumberFormat="1" applyFont="1" applyFill="1" applyBorder="1" applyAlignment="1">
      <alignment horizontal="center" vertical="center" wrapText="1"/>
    </xf>
    <xf numFmtId="164" fontId="18" fillId="5" borderId="21" xfId="4" applyNumberFormat="1" applyFont="1" applyFill="1" applyBorder="1">
      <alignment horizontal="center" vertical="center" wrapText="1"/>
    </xf>
    <xf numFmtId="164" fontId="18" fillId="5" borderId="22" xfId="4" applyNumberFormat="1" applyFont="1" applyFill="1" applyBorder="1">
      <alignment horizontal="center" vertical="center" wrapText="1"/>
    </xf>
    <xf numFmtId="169" fontId="19" fillId="5" borderId="24" xfId="16" applyNumberFormat="1" applyFont="1" applyFill="1" applyBorder="1" applyAlignment="1">
      <alignment horizontal="center" vertical="center" wrapText="1"/>
    </xf>
    <xf numFmtId="49" fontId="19" fillId="5" borderId="8" xfId="7" applyNumberFormat="1" applyFont="1" applyFill="1" applyBorder="1" applyAlignment="1">
      <alignment horizontal="left" vertical="center" wrapText="1" indent="1"/>
    </xf>
    <xf numFmtId="0" fontId="0" fillId="0" borderId="0" xfId="0" applyAlignment="1">
      <alignment vertical="top"/>
    </xf>
    <xf numFmtId="164" fontId="18" fillId="5" borderId="22" xfId="4" applyNumberFormat="1" applyFont="1" applyFill="1" applyBorder="1" applyAlignment="1">
      <alignment horizontal="left" vertical="center" wrapText="1"/>
    </xf>
    <xf numFmtId="169" fontId="19" fillId="5" borderId="12" xfId="16" applyNumberFormat="1" applyFont="1" applyFill="1" applyBorder="1" applyAlignment="1">
      <alignment horizontal="left" vertical="center" wrapText="1"/>
    </xf>
    <xf numFmtId="10" fontId="19" fillId="5" borderId="7" xfId="7" applyNumberFormat="1" applyFont="1" applyFill="1" applyBorder="1" applyAlignment="1">
      <alignment horizontal="center" vertical="center" wrapText="1"/>
    </xf>
    <xf numFmtId="10" fontId="19" fillId="5" borderId="7" xfId="14" applyNumberFormat="1" applyFont="1" applyFill="1" applyBorder="1" applyAlignment="1">
      <alignment horizontal="center" vertical="center" wrapText="1"/>
    </xf>
    <xf numFmtId="10" fontId="19" fillId="5" borderId="8" xfId="7" applyNumberFormat="1" applyFont="1" applyFill="1" applyBorder="1" applyAlignment="1">
      <alignment horizontal="center" vertical="center"/>
    </xf>
    <xf numFmtId="9" fontId="19" fillId="5" borderId="7" xfId="7" applyNumberFormat="1" applyFont="1" applyFill="1" applyBorder="1" applyAlignment="1">
      <alignment horizontal="center" vertical="center" wrapText="1"/>
    </xf>
    <xf numFmtId="9" fontId="19" fillId="5" borderId="8" xfId="7" applyNumberFormat="1" applyFont="1" applyFill="1" applyBorder="1" applyAlignment="1">
      <alignment horizontal="center" vertical="center"/>
    </xf>
    <xf numFmtId="0" fontId="17" fillId="0" borderId="0" xfId="0" applyFont="1" applyAlignment="1">
      <alignment horizontal="left" vertical="center" indent="1"/>
    </xf>
    <xf numFmtId="0" fontId="13" fillId="0" borderId="0" xfId="0" applyFont="1" applyAlignment="1">
      <alignment horizontal="left" vertical="center" indent="1"/>
    </xf>
    <xf numFmtId="0" fontId="13" fillId="5" borderId="0" xfId="0" applyFont="1" applyFill="1" applyAlignment="1">
      <alignment horizontal="center" vertical="center"/>
    </xf>
    <xf numFmtId="44" fontId="19" fillId="7" borderId="7" xfId="7" applyNumberFormat="1" applyFont="1" applyFill="1" applyBorder="1" applyAlignment="1">
      <alignment horizontal="center" vertical="center" wrapText="1"/>
    </xf>
    <xf numFmtId="0" fontId="18" fillId="5" borderId="0" xfId="13" applyNumberFormat="1" applyFont="1" applyFill="1" applyBorder="1" applyAlignment="1">
      <alignment horizontal="center" vertical="center" wrapText="1"/>
    </xf>
    <xf numFmtId="167" fontId="19" fillId="5" borderId="0" xfId="14" applyNumberFormat="1" applyFont="1" applyFill="1" applyBorder="1" applyAlignment="1">
      <alignment horizontal="center" vertical="top" wrapText="1"/>
    </xf>
    <xf numFmtId="0" fontId="32" fillId="0" borderId="0" xfId="0" applyFont="1" applyAlignment="1">
      <alignment vertical="top"/>
    </xf>
    <xf numFmtId="49" fontId="19" fillId="5" borderId="7" xfId="7" applyNumberFormat="1" applyFont="1" applyFill="1" applyBorder="1" applyAlignment="1">
      <alignment horizontal="center" vertical="center"/>
    </xf>
    <xf numFmtId="167" fontId="19" fillId="7" borderId="11" xfId="14" applyNumberFormat="1" applyFont="1" applyFill="1" applyBorder="1" applyAlignment="1">
      <alignment horizontal="center" vertical="center" wrapText="1"/>
    </xf>
    <xf numFmtId="0" fontId="26" fillId="0" borderId="39" xfId="0" applyFont="1" applyBorder="1" applyAlignment="1">
      <alignment vertical="center" wrapText="1"/>
    </xf>
    <xf numFmtId="0" fontId="27" fillId="0" borderId="39" xfId="0" applyFont="1" applyBorder="1" applyAlignment="1">
      <alignment vertical="center" wrapText="1"/>
    </xf>
    <xf numFmtId="0" fontId="26" fillId="0" borderId="39" xfId="0" applyFont="1" applyBorder="1" applyAlignment="1">
      <alignment horizontal="left" vertical="center" wrapText="1"/>
    </xf>
    <xf numFmtId="0" fontId="27" fillId="0" borderId="0" xfId="0" applyFont="1" applyAlignment="1">
      <alignment vertical="center" wrapText="1"/>
    </xf>
    <xf numFmtId="0" fontId="26" fillId="0" borderId="39" xfId="0" applyFont="1" applyBorder="1">
      <alignment vertical="center"/>
    </xf>
    <xf numFmtId="0" fontId="27" fillId="0" borderId="39" xfId="0" applyFont="1" applyBorder="1">
      <alignment vertical="center"/>
    </xf>
    <xf numFmtId="171" fontId="0" fillId="0" borderId="0" xfId="0" applyNumberFormat="1">
      <alignment vertical="center"/>
    </xf>
    <xf numFmtId="49" fontId="16" fillId="6" borderId="6" xfId="0" applyNumberFormat="1" applyFont="1" applyFill="1" applyBorder="1" applyAlignment="1">
      <alignment horizontal="left" vertical="center" wrapText="1" indent="1"/>
    </xf>
    <xf numFmtId="49" fontId="19" fillId="6" borderId="7" xfId="7" applyNumberFormat="1" applyFont="1" applyFill="1" applyBorder="1" applyAlignment="1">
      <alignment horizontal="center" vertical="center" wrapText="1"/>
    </xf>
    <xf numFmtId="44" fontId="19" fillId="6" borderId="7" xfId="14" applyFont="1" applyFill="1" applyBorder="1" applyAlignment="1">
      <alignment horizontal="center" vertical="center" wrapText="1"/>
    </xf>
    <xf numFmtId="49" fontId="19" fillId="6" borderId="8" xfId="7" applyNumberFormat="1" applyFont="1" applyFill="1" applyBorder="1" applyAlignment="1">
      <alignment horizontal="center" vertical="center"/>
    </xf>
    <xf numFmtId="49" fontId="19" fillId="6" borderId="7" xfId="7" applyNumberFormat="1" applyFont="1" applyFill="1" applyBorder="1" applyAlignment="1">
      <alignment horizontal="left" vertical="center" wrapText="1" indent="1"/>
    </xf>
    <xf numFmtId="49" fontId="19" fillId="6" borderId="8" xfId="7" applyNumberFormat="1" applyFont="1" applyFill="1" applyBorder="1" applyAlignment="1">
      <alignment horizontal="left" vertical="center" wrapText="1" indent="1"/>
    </xf>
    <xf numFmtId="49" fontId="19" fillId="6" borderId="7" xfId="7" applyNumberFormat="1" applyFont="1" applyFill="1" applyBorder="1" applyAlignment="1">
      <alignment horizontal="center" vertical="center"/>
    </xf>
    <xf numFmtId="44" fontId="19" fillId="6" borderId="8" xfId="14" applyFont="1" applyFill="1" applyBorder="1" applyAlignment="1">
      <alignment horizontal="left" vertical="center" indent="1"/>
    </xf>
    <xf numFmtId="10" fontId="19" fillId="6" borderId="7" xfId="7" applyNumberFormat="1" applyFont="1" applyFill="1" applyBorder="1" applyAlignment="1">
      <alignment horizontal="left" vertical="center" wrapText="1" indent="1"/>
    </xf>
    <xf numFmtId="10" fontId="19" fillId="6" borderId="27" xfId="7" applyNumberFormat="1" applyFont="1" applyFill="1" applyBorder="1" applyAlignment="1">
      <alignment horizontal="left" vertical="center" wrapText="1" indent="1"/>
    </xf>
    <xf numFmtId="172" fontId="0" fillId="0" borderId="0" xfId="0" applyNumberFormat="1">
      <alignment vertical="center"/>
    </xf>
    <xf numFmtId="0" fontId="33" fillId="0" borderId="0" xfId="0" applyFont="1">
      <alignment vertical="center"/>
    </xf>
    <xf numFmtId="10" fontId="0" fillId="0" borderId="0" xfId="13" applyNumberFormat="1" applyFont="1" applyAlignment="1">
      <alignment vertical="center"/>
    </xf>
    <xf numFmtId="0" fontId="25" fillId="8" borderId="39" xfId="0" applyFont="1" applyFill="1" applyBorder="1" applyAlignment="1">
      <alignment wrapText="1"/>
    </xf>
    <xf numFmtId="0" fontId="25" fillId="8" borderId="39" xfId="0" applyFont="1" applyFill="1" applyBorder="1" applyAlignment="1"/>
    <xf numFmtId="0" fontId="25" fillId="6" borderId="39" xfId="0" applyFont="1" applyFill="1" applyBorder="1" applyAlignment="1">
      <alignment vertical="center" wrapText="1"/>
    </xf>
    <xf numFmtId="0" fontId="26" fillId="6" borderId="39" xfId="0" applyFont="1" applyFill="1" applyBorder="1" applyAlignment="1">
      <alignment wrapText="1"/>
    </xf>
    <xf numFmtId="0" fontId="26" fillId="6" borderId="39" xfId="0" applyFont="1" applyFill="1" applyBorder="1" applyAlignment="1">
      <alignment vertical="center" wrapText="1"/>
    </xf>
    <xf numFmtId="166" fontId="30" fillId="5" borderId="16" xfId="7" applyNumberFormat="1" applyFont="1" applyFill="1" applyBorder="1" applyAlignment="1">
      <alignment horizontal="center" vertical="center" wrapText="1"/>
    </xf>
    <xf numFmtId="166" fontId="30" fillId="5" borderId="17" xfId="7" applyNumberFormat="1" applyFont="1" applyFill="1" applyBorder="1" applyAlignment="1">
      <alignment horizontal="center" vertical="center" wrapText="1"/>
    </xf>
    <xf numFmtId="173" fontId="0" fillId="0" borderId="0" xfId="13" applyNumberFormat="1" applyFont="1" applyAlignment="1">
      <alignment vertical="center"/>
    </xf>
    <xf numFmtId="169" fontId="0" fillId="0" borderId="0" xfId="0" applyNumberFormat="1">
      <alignment vertical="center"/>
    </xf>
    <xf numFmtId="174" fontId="0" fillId="0" borderId="0" xfId="0" applyNumberFormat="1">
      <alignment vertical="center"/>
    </xf>
    <xf numFmtId="0" fontId="15" fillId="0" borderId="0" xfId="0" applyFont="1" applyAlignment="1">
      <alignment horizontal="center" vertical="center"/>
    </xf>
    <xf numFmtId="9" fontId="0" fillId="0" borderId="0" xfId="0" applyNumberFormat="1">
      <alignment vertical="center"/>
    </xf>
    <xf numFmtId="44" fontId="19" fillId="7" borderId="12" xfId="14" applyFont="1" applyFill="1" applyBorder="1" applyAlignment="1">
      <alignment horizontal="left" vertical="center" indent="1"/>
    </xf>
    <xf numFmtId="44" fontId="19" fillId="7" borderId="11" xfId="7" applyNumberFormat="1" applyFont="1" applyFill="1" applyBorder="1" applyAlignment="1">
      <alignment horizontal="center" vertical="center" wrapText="1"/>
    </xf>
    <xf numFmtId="0" fontId="17" fillId="4" borderId="35" xfId="0" applyFont="1" applyFill="1" applyBorder="1" applyAlignment="1">
      <alignment horizontal="left" vertical="center" indent="1"/>
    </xf>
    <xf numFmtId="173" fontId="34" fillId="5" borderId="35" xfId="13" applyNumberFormat="1" applyFont="1" applyFill="1" applyBorder="1" applyAlignment="1">
      <alignment horizontal="right" vertical="center" indent="1"/>
    </xf>
    <xf numFmtId="10" fontId="34" fillId="5" borderId="35" xfId="13" applyNumberFormat="1" applyFont="1" applyFill="1" applyBorder="1" applyAlignment="1">
      <alignment horizontal="right" vertical="center" indent="1"/>
    </xf>
    <xf numFmtId="0" fontId="34" fillId="5" borderId="35" xfId="0" applyFont="1" applyFill="1" applyBorder="1" applyAlignment="1">
      <alignment horizontal="right" vertical="center" indent="1"/>
    </xf>
    <xf numFmtId="171" fontId="34" fillId="5" borderId="35" xfId="0" applyNumberFormat="1" applyFont="1" applyFill="1" applyBorder="1" applyAlignment="1">
      <alignment horizontal="right" vertical="center" indent="1"/>
    </xf>
    <xf numFmtId="173" fontId="30" fillId="6" borderId="35" xfId="13" applyNumberFormat="1" applyFont="1" applyFill="1" applyBorder="1" applyAlignment="1">
      <alignment horizontal="center" vertical="center" wrapText="1"/>
    </xf>
    <xf numFmtId="175" fontId="30" fillId="6" borderId="35" xfId="16" applyNumberFormat="1" applyFont="1" applyFill="1" applyBorder="1" applyAlignment="1">
      <alignment horizontal="right" vertical="center" wrapText="1"/>
    </xf>
    <xf numFmtId="169" fontId="30" fillId="6" borderId="35" xfId="16" applyNumberFormat="1" applyFont="1" applyFill="1" applyBorder="1" applyAlignment="1">
      <alignment horizontal="left" vertical="center" wrapText="1"/>
    </xf>
    <xf numFmtId="164" fontId="35" fillId="5" borderId="0" xfId="9" applyFont="1" applyFill="1" applyBorder="1" applyAlignment="1">
      <alignment vertical="center"/>
    </xf>
    <xf numFmtId="164" fontId="38" fillId="5" borderId="0" xfId="9" applyFont="1" applyFill="1" applyBorder="1" applyAlignment="1">
      <alignment horizontal="center" vertical="center"/>
    </xf>
    <xf numFmtId="170" fontId="37" fillId="5" borderId="0" xfId="16" applyNumberFormat="1" applyFont="1" applyFill="1" applyBorder="1" applyAlignment="1">
      <alignment horizontal="center" vertical="center" wrapText="1"/>
    </xf>
    <xf numFmtId="167" fontId="37" fillId="5" borderId="0" xfId="14" applyNumberFormat="1" applyFont="1" applyFill="1" applyBorder="1" applyAlignment="1">
      <alignment horizontal="center" vertical="center" wrapText="1"/>
    </xf>
    <xf numFmtId="0" fontId="15" fillId="0" borderId="0" xfId="0" applyFont="1">
      <alignment vertical="center"/>
    </xf>
    <xf numFmtId="0" fontId="37" fillId="5" borderId="25" xfId="16" applyNumberFormat="1" applyFont="1" applyFill="1" applyBorder="1" applyAlignment="1">
      <alignment horizontal="center" vertical="center" wrapText="1"/>
    </xf>
    <xf numFmtId="0" fontId="37" fillId="5" borderId="46" xfId="16" applyNumberFormat="1" applyFont="1" applyFill="1" applyBorder="1" applyAlignment="1">
      <alignment horizontal="center" vertical="center" wrapText="1"/>
    </xf>
    <xf numFmtId="170" fontId="37" fillId="5" borderId="46" xfId="16" applyNumberFormat="1" applyFont="1" applyFill="1" applyBorder="1" applyAlignment="1">
      <alignment horizontal="center" vertical="center" wrapText="1"/>
    </xf>
    <xf numFmtId="170" fontId="37" fillId="5" borderId="45" xfId="16" applyNumberFormat="1" applyFont="1" applyFill="1" applyBorder="1" applyAlignment="1">
      <alignment horizontal="center" vertical="center" wrapText="1"/>
    </xf>
    <xf numFmtId="164" fontId="36" fillId="9" borderId="35" xfId="9" applyFont="1" applyFill="1" applyBorder="1" applyAlignment="1">
      <alignment horizontal="center" vertical="center"/>
    </xf>
    <xf numFmtId="0" fontId="40" fillId="9" borderId="25" xfId="0" applyFont="1" applyFill="1" applyBorder="1" applyAlignment="1">
      <alignment horizontal="center" vertical="center"/>
    </xf>
    <xf numFmtId="0" fontId="40" fillId="9" borderId="46" xfId="0" applyFont="1" applyFill="1" applyBorder="1" applyAlignment="1">
      <alignment horizontal="center" vertical="center"/>
    </xf>
    <xf numFmtId="0" fontId="40" fillId="9" borderId="45" xfId="0" applyFont="1" applyFill="1" applyBorder="1" applyAlignment="1">
      <alignment horizontal="center" vertical="center"/>
    </xf>
    <xf numFmtId="167" fontId="37" fillId="5" borderId="26" xfId="14" applyNumberFormat="1" applyFont="1" applyFill="1" applyBorder="1" applyAlignment="1">
      <alignment horizontal="center" vertical="center" wrapText="1"/>
    </xf>
    <xf numFmtId="167" fontId="37" fillId="5" borderId="23" xfId="14" applyNumberFormat="1" applyFont="1" applyFill="1" applyBorder="1" applyAlignment="1">
      <alignment horizontal="center" vertical="center" wrapText="1"/>
    </xf>
    <xf numFmtId="167" fontId="37" fillId="5" borderId="42" xfId="14" applyNumberFormat="1" applyFont="1" applyFill="1" applyBorder="1" applyAlignment="1">
      <alignment horizontal="center" vertical="center" wrapText="1"/>
    </xf>
    <xf numFmtId="167" fontId="37" fillId="5" borderId="44" xfId="14" applyNumberFormat="1" applyFont="1" applyFill="1" applyBorder="1" applyAlignment="1">
      <alignment horizontal="center" vertical="center" wrapText="1"/>
    </xf>
    <xf numFmtId="49" fontId="37" fillId="5" borderId="47" xfId="7" applyNumberFormat="1" applyFont="1" applyFill="1" applyBorder="1" applyAlignment="1">
      <alignment horizontal="center" vertical="center" wrapText="1"/>
    </xf>
    <xf numFmtId="49" fontId="37" fillId="5" borderId="48" xfId="7" applyNumberFormat="1" applyFont="1" applyFill="1" applyBorder="1" applyAlignment="1">
      <alignment horizontal="center" vertical="center" wrapText="1"/>
    </xf>
    <xf numFmtId="49" fontId="37" fillId="5" borderId="49" xfId="7" applyNumberFormat="1" applyFont="1" applyFill="1" applyBorder="1" applyAlignment="1">
      <alignment horizontal="center" vertical="center" wrapText="1"/>
    </xf>
    <xf numFmtId="0" fontId="39" fillId="9" borderId="46" xfId="13" applyNumberFormat="1" applyFont="1" applyFill="1" applyBorder="1" applyAlignment="1">
      <alignment horizontal="center" vertical="center" wrapText="1"/>
    </xf>
    <xf numFmtId="166" fontId="39" fillId="9" borderId="25" xfId="7" applyNumberFormat="1" applyFont="1" applyFill="1" applyBorder="1" applyAlignment="1">
      <alignment horizontal="center" vertical="center" wrapText="1"/>
    </xf>
    <xf numFmtId="0" fontId="39" fillId="9" borderId="45" xfId="13" applyNumberFormat="1" applyFont="1" applyFill="1" applyBorder="1" applyAlignment="1">
      <alignment horizontal="center" vertical="center" wrapText="1"/>
    </xf>
    <xf numFmtId="0" fontId="39" fillId="9" borderId="25" xfId="13" applyNumberFormat="1" applyFont="1" applyFill="1" applyBorder="1" applyAlignment="1">
      <alignment horizontal="center" vertical="center" wrapText="1"/>
    </xf>
    <xf numFmtId="167" fontId="37" fillId="5" borderId="47" xfId="14" applyNumberFormat="1" applyFont="1" applyFill="1" applyBorder="1" applyAlignment="1">
      <alignment horizontal="center" vertical="center" wrapText="1"/>
    </xf>
    <xf numFmtId="167" fontId="37" fillId="5" borderId="48" xfId="14" applyNumberFormat="1" applyFont="1" applyFill="1" applyBorder="1" applyAlignment="1">
      <alignment horizontal="center" vertical="center" wrapText="1"/>
    </xf>
    <xf numFmtId="167" fontId="37" fillId="5" borderId="49" xfId="14" applyNumberFormat="1" applyFont="1" applyFill="1" applyBorder="1" applyAlignment="1">
      <alignment horizontal="center" vertical="center" wrapText="1"/>
    </xf>
    <xf numFmtId="167" fontId="37" fillId="10" borderId="35" xfId="14" applyNumberFormat="1" applyFont="1" applyFill="1" applyBorder="1" applyAlignment="1">
      <alignment horizontal="center" vertical="center" wrapText="1"/>
    </xf>
    <xf numFmtId="167" fontId="37" fillId="5" borderId="41" xfId="14" applyNumberFormat="1" applyFont="1" applyFill="1" applyBorder="1" applyAlignment="1">
      <alignment horizontal="center" vertical="center" wrapText="1"/>
    </xf>
    <xf numFmtId="167" fontId="37" fillId="5" borderId="43" xfId="14" applyNumberFormat="1" applyFont="1" applyFill="1" applyBorder="1" applyAlignment="1">
      <alignment horizontal="center" vertical="center" wrapText="1"/>
    </xf>
    <xf numFmtId="49" fontId="20" fillId="5" borderId="0" xfId="0" applyNumberFormat="1" applyFont="1" applyFill="1" applyAlignment="1">
      <alignment horizontal="left" vertical="center" indent="1"/>
    </xf>
    <xf numFmtId="44" fontId="9" fillId="5" borderId="35" xfId="14" applyFont="1" applyFill="1" applyBorder="1" applyAlignment="1">
      <alignment vertical="center" wrapText="1"/>
    </xf>
    <xf numFmtId="1" fontId="12" fillId="8" borderId="35" xfId="7" applyNumberFormat="1" applyFont="1" applyFill="1" applyBorder="1" applyAlignment="1">
      <alignment horizontal="center" vertical="center" wrapText="1"/>
    </xf>
    <xf numFmtId="49" fontId="12" fillId="6" borderId="35" xfId="7" applyNumberFormat="1" applyFont="1" applyFill="1" applyBorder="1" applyAlignment="1">
      <alignment horizontal="center" vertical="center" wrapText="1"/>
    </xf>
    <xf numFmtId="1" fontId="23" fillId="6" borderId="35" xfId="7" applyNumberFormat="1" applyFont="1" applyFill="1" applyBorder="1" applyAlignment="1">
      <alignment horizontal="center" vertical="center" wrapText="1"/>
    </xf>
    <xf numFmtId="44" fontId="10" fillId="5" borderId="35" xfId="14" applyFont="1" applyFill="1" applyBorder="1" applyAlignment="1">
      <alignment vertical="center" wrapText="1"/>
    </xf>
    <xf numFmtId="2" fontId="12" fillId="8" borderId="35" xfId="9" applyNumberFormat="1" applyFont="1" applyFill="1" applyBorder="1" applyAlignment="1">
      <alignment horizontal="center" vertical="center"/>
    </xf>
    <xf numFmtId="44" fontId="18" fillId="5" borderId="35" xfId="14" applyFont="1" applyFill="1" applyBorder="1" applyAlignment="1">
      <alignment horizontal="center" vertical="center" wrapText="1"/>
    </xf>
    <xf numFmtId="49" fontId="18" fillId="5" borderId="35" xfId="7" applyNumberFormat="1" applyFont="1" applyFill="1" applyBorder="1" applyAlignment="1">
      <alignment horizontal="center" vertical="center"/>
    </xf>
    <xf numFmtId="171" fontId="2" fillId="8" borderId="35" xfId="7" applyNumberFormat="1" applyFont="1" applyFill="1" applyBorder="1" applyAlignment="1">
      <alignment horizontal="right" vertical="center" wrapText="1"/>
    </xf>
    <xf numFmtId="171" fontId="1" fillId="6" borderId="35" xfId="7" applyNumberFormat="1" applyFont="1" applyFill="1" applyBorder="1" applyAlignment="1">
      <alignment horizontal="center" vertical="center" wrapText="1"/>
    </xf>
    <xf numFmtId="171" fontId="2" fillId="6" borderId="35" xfId="7" applyNumberFormat="1" applyFont="1" applyFill="1" applyBorder="1" applyAlignment="1">
      <alignment horizontal="center" vertical="center" wrapText="1"/>
    </xf>
    <xf numFmtId="171" fontId="2" fillId="6" borderId="35" xfId="7" applyNumberFormat="1" applyFont="1" applyFill="1" applyBorder="1" applyAlignment="1">
      <alignment horizontal="right" vertical="center" wrapText="1"/>
    </xf>
    <xf numFmtId="0" fontId="0" fillId="6" borderId="35" xfId="0" applyFill="1" applyBorder="1">
      <alignment vertical="center"/>
    </xf>
    <xf numFmtId="166" fontId="0" fillId="8" borderId="35" xfId="0" applyNumberFormat="1" applyFill="1" applyBorder="1">
      <alignment vertical="center"/>
    </xf>
    <xf numFmtId="171" fontId="24" fillId="8" borderId="35" xfId="7" applyNumberFormat="1" applyFont="1" applyFill="1" applyBorder="1" applyAlignment="1">
      <alignment horizontal="right" vertical="center" wrapText="1"/>
    </xf>
    <xf numFmtId="169" fontId="30" fillId="6" borderId="35" xfId="16" applyNumberFormat="1" applyFont="1" applyFill="1" applyBorder="1" applyAlignment="1">
      <alignment horizontal="center" vertical="center" wrapText="1"/>
    </xf>
    <xf numFmtId="176" fontId="23" fillId="8" borderId="35" xfId="7" applyNumberFormat="1" applyFont="1" applyFill="1" applyBorder="1" applyAlignment="1">
      <alignment horizontal="center" vertical="center" wrapText="1"/>
    </xf>
    <xf numFmtId="176" fontId="41" fillId="8" borderId="35" xfId="7" applyNumberFormat="1" applyFont="1" applyFill="1" applyBorder="1" applyAlignment="1">
      <alignment horizontal="center" vertical="center" wrapText="1"/>
    </xf>
    <xf numFmtId="164" fontId="18" fillId="5" borderId="50" xfId="4" applyNumberFormat="1" applyFont="1" applyFill="1" applyBorder="1">
      <alignment horizontal="center" vertical="center" wrapText="1"/>
    </xf>
    <xf numFmtId="173" fontId="19" fillId="5" borderId="51" xfId="13" applyNumberFormat="1" applyFont="1" applyFill="1" applyBorder="1" applyAlignment="1">
      <alignment horizontal="center" vertical="center" wrapText="1"/>
    </xf>
    <xf numFmtId="170" fontId="19" fillId="5" borderId="51" xfId="16" applyNumberFormat="1" applyFont="1" applyFill="1" applyBorder="1" applyAlignment="1">
      <alignment horizontal="center" vertical="center" wrapText="1"/>
    </xf>
    <xf numFmtId="169" fontId="19" fillId="5" borderId="51" xfId="16" applyNumberFormat="1" applyFont="1" applyFill="1" applyBorder="1" applyAlignment="1">
      <alignment horizontal="center" vertical="center" wrapText="1"/>
    </xf>
    <xf numFmtId="3" fontId="23" fillId="8" borderId="35" xfId="16" applyNumberFormat="1" applyFont="1" applyFill="1" applyBorder="1" applyAlignment="1">
      <alignment horizontal="center" vertical="center" wrapText="1"/>
    </xf>
    <xf numFmtId="176" fontId="2" fillId="8" borderId="35" xfId="7" applyNumberFormat="1" applyFont="1" applyFill="1" applyBorder="1" applyAlignment="1">
      <alignment horizontal="right" vertical="center" wrapText="1"/>
    </xf>
    <xf numFmtId="171" fontId="0" fillId="0" borderId="35" xfId="0" applyNumberFormat="1" applyBorder="1">
      <alignment vertical="center"/>
    </xf>
    <xf numFmtId="171" fontId="42" fillId="11" borderId="35" xfId="19" applyNumberFormat="1" applyBorder="1" applyAlignment="1">
      <alignment vertical="center"/>
    </xf>
    <xf numFmtId="0" fontId="10" fillId="6" borderId="35" xfId="7" applyNumberFormat="1" applyFont="1" applyFill="1" applyBorder="1" applyAlignment="1">
      <alignment horizontal="center" vertical="center" wrapText="1"/>
    </xf>
    <xf numFmtId="0" fontId="10" fillId="5" borderId="35" xfId="7" applyNumberFormat="1" applyFont="1" applyFill="1" applyBorder="1" applyAlignment="1">
      <alignment horizontal="center" vertical="center" wrapText="1"/>
    </xf>
    <xf numFmtId="44" fontId="18" fillId="0" borderId="7" xfId="14" applyFont="1" applyFill="1" applyBorder="1" applyAlignment="1">
      <alignment horizontal="center" vertical="center" wrapText="1"/>
    </xf>
    <xf numFmtId="49" fontId="18" fillId="0" borderId="8" xfId="7" applyNumberFormat="1" applyFont="1" applyFill="1" applyBorder="1" applyAlignment="1">
      <alignment horizontal="center" vertical="center" wrapText="1"/>
    </xf>
    <xf numFmtId="0" fontId="15" fillId="0" borderId="0" xfId="0" applyFont="1" applyAlignment="1">
      <alignment horizontal="left" vertical="center" indent="11"/>
    </xf>
    <xf numFmtId="49" fontId="18" fillId="7" borderId="12" xfId="7" applyNumberFormat="1" applyFont="1" applyFill="1" applyBorder="1" applyAlignment="1">
      <alignment horizontal="center" vertical="center" wrapText="1"/>
    </xf>
    <xf numFmtId="49" fontId="18" fillId="7" borderId="18" xfId="7" applyNumberFormat="1" applyFont="1" applyFill="1" applyBorder="1" applyAlignment="1">
      <alignment horizontal="center" vertical="center" wrapText="1"/>
    </xf>
    <xf numFmtId="49" fontId="18" fillId="7" borderId="40" xfId="7" applyNumberFormat="1" applyFont="1" applyFill="1" applyBorder="1" applyAlignment="1">
      <alignment horizontal="center" vertical="center" wrapText="1"/>
    </xf>
    <xf numFmtId="49" fontId="18" fillId="7" borderId="0" xfId="7" applyNumberFormat="1" applyFont="1" applyFill="1" applyBorder="1" applyAlignment="1">
      <alignment horizontal="center" vertical="center" wrapText="1"/>
    </xf>
    <xf numFmtId="44" fontId="18" fillId="5" borderId="11" xfId="14" applyFont="1" applyFill="1" applyBorder="1" applyAlignment="1">
      <alignment horizontal="center" vertical="center" wrapText="1"/>
    </xf>
    <xf numFmtId="44" fontId="18" fillId="5" borderId="34" xfId="14" applyFont="1" applyFill="1" applyBorder="1" applyAlignment="1">
      <alignment horizontal="center" vertical="center" wrapText="1"/>
    </xf>
    <xf numFmtId="49" fontId="18" fillId="5" borderId="11" xfId="7" applyNumberFormat="1" applyFont="1" applyFill="1" applyBorder="1" applyAlignment="1">
      <alignment horizontal="center" vertical="center" wrapText="1"/>
    </xf>
    <xf numFmtId="49" fontId="18" fillId="5" borderId="34" xfId="7" applyNumberFormat="1" applyFont="1" applyFill="1" applyBorder="1" applyAlignment="1">
      <alignment horizontal="center" vertical="center" wrapText="1"/>
    </xf>
    <xf numFmtId="44" fontId="18" fillId="5" borderId="8" xfId="14" applyFont="1" applyFill="1" applyBorder="1" applyAlignment="1">
      <alignment horizontal="center" vertical="center" wrapText="1"/>
    </xf>
    <xf numFmtId="44" fontId="18" fillId="5" borderId="6" xfId="14" applyFont="1" applyFill="1" applyBorder="1" applyAlignment="1">
      <alignment horizontal="center" vertical="center" wrapText="1"/>
    </xf>
    <xf numFmtId="10" fontId="18" fillId="4" borderId="18" xfId="13" applyNumberFormat="1" applyFont="1" applyFill="1" applyBorder="1" applyAlignment="1">
      <alignment horizontal="center" vertical="center" wrapText="1"/>
    </xf>
    <xf numFmtId="10" fontId="18" fillId="4" borderId="9" xfId="13" applyNumberFormat="1" applyFont="1" applyFill="1" applyBorder="1" applyAlignment="1">
      <alignment horizontal="center" vertical="center" wrapText="1"/>
    </xf>
    <xf numFmtId="10" fontId="18" fillId="4" borderId="12" xfId="13" applyNumberFormat="1" applyFont="1" applyFill="1" applyBorder="1" applyAlignment="1">
      <alignment horizontal="center" vertical="center" wrapText="1"/>
    </xf>
    <xf numFmtId="10" fontId="18" fillId="4" borderId="36" xfId="13" applyNumberFormat="1" applyFont="1" applyFill="1" applyBorder="1" applyAlignment="1">
      <alignment horizontal="center" vertical="center" wrapText="1"/>
    </xf>
    <xf numFmtId="10" fontId="18" fillId="4" borderId="37" xfId="13" applyNumberFormat="1" applyFont="1" applyFill="1" applyBorder="1" applyAlignment="1">
      <alignment horizontal="center" vertical="center" wrapText="1"/>
    </xf>
    <xf numFmtId="10" fontId="18" fillId="4" borderId="38" xfId="13" applyNumberFormat="1" applyFont="1" applyFill="1" applyBorder="1" applyAlignment="1">
      <alignment horizontal="center" vertical="center" wrapText="1"/>
    </xf>
    <xf numFmtId="0" fontId="15" fillId="0" borderId="0" xfId="0" applyFont="1" applyAlignment="1">
      <alignment horizontal="center" vertical="center"/>
    </xf>
    <xf numFmtId="0" fontId="29" fillId="0" borderId="28" xfId="0" applyFont="1" applyBorder="1" applyAlignment="1">
      <alignment horizontal="left" vertical="top"/>
    </xf>
    <xf numFmtId="0" fontId="29" fillId="0" borderId="29" xfId="0" applyFont="1" applyBorder="1" applyAlignment="1">
      <alignment horizontal="left" vertical="top"/>
    </xf>
    <xf numFmtId="0" fontId="29" fillId="0" borderId="30" xfId="0" applyFont="1" applyBorder="1" applyAlignment="1">
      <alignment horizontal="left" vertical="top"/>
    </xf>
    <xf numFmtId="0" fontId="29" fillId="0" borderId="31" xfId="0" applyFont="1" applyBorder="1" applyAlignment="1">
      <alignment horizontal="left" vertical="top"/>
    </xf>
    <xf numFmtId="0" fontId="29" fillId="0" borderId="32" xfId="0" applyFont="1" applyBorder="1" applyAlignment="1">
      <alignment horizontal="left" vertical="top"/>
    </xf>
    <xf numFmtId="0" fontId="29" fillId="0" borderId="33" xfId="0" applyFont="1" applyBorder="1" applyAlignment="1">
      <alignment horizontal="left" vertical="top"/>
    </xf>
    <xf numFmtId="171" fontId="42" fillId="11" borderId="35" xfId="19" applyNumberFormat="1" applyBorder="1" applyAlignment="1">
      <alignment vertical="center"/>
    </xf>
    <xf numFmtId="171" fontId="0" fillId="0" borderId="35" xfId="0" applyNumberFormat="1" applyBorder="1">
      <alignment vertical="center"/>
    </xf>
    <xf numFmtId="49" fontId="9" fillId="5" borderId="35" xfId="7" applyNumberFormat="1" applyFont="1" applyFill="1" applyBorder="1" applyAlignment="1">
      <alignment horizontal="center" vertical="center" wrapText="1"/>
    </xf>
    <xf numFmtId="44" fontId="18" fillId="5" borderId="35" xfId="14" applyFont="1" applyFill="1" applyBorder="1" applyAlignment="1">
      <alignment horizontal="center" vertical="center" wrapText="1"/>
    </xf>
    <xf numFmtId="176" fontId="2" fillId="8" borderId="35" xfId="7" applyNumberFormat="1" applyFont="1" applyFill="1" applyBorder="1" applyAlignment="1">
      <alignment horizontal="center" vertical="center" wrapText="1"/>
    </xf>
    <xf numFmtId="0" fontId="9" fillId="5" borderId="35" xfId="7" applyNumberFormat="1" applyFont="1" applyFill="1" applyBorder="1" applyAlignment="1">
      <alignment horizontal="center" vertical="center" wrapText="1"/>
    </xf>
    <xf numFmtId="49" fontId="18" fillId="5" borderId="35" xfId="7" applyNumberFormat="1" applyFont="1" applyFill="1" applyBorder="1" applyAlignment="1">
      <alignment horizontal="center" vertical="center" wrapText="1"/>
    </xf>
    <xf numFmtId="44" fontId="31" fillId="5" borderId="35" xfId="14" applyFont="1" applyFill="1" applyBorder="1" applyAlignment="1">
      <alignment horizontal="center" vertical="center" wrapText="1"/>
    </xf>
    <xf numFmtId="0" fontId="0" fillId="0" borderId="0" xfId="0" applyAlignment="1">
      <alignment horizontal="center" vertical="center"/>
    </xf>
  </cellXfs>
  <cellStyles count="20">
    <cellStyle name="1000-sep (2 dec) 2 2" xfId="17" xr:uid="{32C196EF-3D51-4E6A-BD0E-10DA9FAFBDFA}"/>
    <cellStyle name="Beløb" xfId="7" xr:uid="{00000000-0005-0000-0000-000000000000}"/>
    <cellStyle name="God" xfId="19" builtinId="26"/>
    <cellStyle name="Højre kant" xfId="12" xr:uid="{00000000-0005-0000-0000-000008000000}"/>
    <cellStyle name="Komma" xfId="16" builtinId="3"/>
    <cellStyle name="Nederste kant" xfId="9" xr:uid="{00000000-0005-0000-0000-000001000000}"/>
    <cellStyle name="Normal" xfId="0" builtinId="0" customBuiltin="1"/>
    <cellStyle name="Normal 2" xfId="15" xr:uid="{D02B3E51-87B3-4219-A51B-6F694E87D369}"/>
    <cellStyle name="Normal 5 2" xfId="18" xr:uid="{D382AED2-3DE9-478D-8253-474CF64AADFE}"/>
    <cellStyle name="Oversigtsbeløb" xfId="6" xr:uid="{00000000-0005-0000-0000-000009000000}"/>
    <cellStyle name="Oversigtstekst" xfId="8" xr:uid="{00000000-0005-0000-0000-00000A000000}"/>
    <cellStyle name="Overskrift 1" xfId="2" builtinId="16" customBuiltin="1"/>
    <cellStyle name="Overskrift 2" xfId="3" builtinId="17" customBuiltin="1"/>
    <cellStyle name="Overskrift 3" xfId="4" builtinId="18" customBuiltin="1"/>
    <cellStyle name="Overskrift 4" xfId="5" builtinId="19" customBuiltin="1"/>
    <cellStyle name="Procent" xfId="13" builtinId="5"/>
    <cellStyle name="Titel" xfId="1" builtinId="15" customBuiltin="1"/>
    <cellStyle name="Valuta" xfId="14" builtinId="4"/>
    <cellStyle name="Venstre kant" xfId="11" xr:uid="{00000000-0005-0000-0000-000006000000}"/>
    <cellStyle name="Øverste kant" xfId="10" xr:uid="{00000000-0005-0000-0000-00000C000000}"/>
  </cellStyles>
  <dxfs count="32">
    <dxf>
      <font>
        <color theme="0"/>
      </font>
      <fill>
        <patternFill>
          <bgColor theme="0"/>
        </patternFill>
      </fill>
      <border>
        <left style="thin">
          <color theme="0" tint="-0.14993743705557422"/>
        </left>
        <right/>
        <top/>
        <bottom/>
        <vertical/>
        <horizontal/>
      </border>
    </dxf>
    <dxf>
      <font>
        <color rgb="FF9C0006"/>
      </font>
      <fill>
        <patternFill>
          <bgColor rgb="FFFFC7CE"/>
        </patternFill>
      </fill>
    </dxf>
    <dxf>
      <fill>
        <patternFill>
          <bgColor rgb="FFFFC7CE"/>
        </patternFill>
      </fill>
    </dxf>
    <dxf>
      <fill>
        <patternFill>
          <bgColor theme="0"/>
        </patternFill>
      </fill>
    </dxf>
    <dxf>
      <font>
        <strike val="0"/>
        <outline val="0"/>
        <shadow val="0"/>
        <u val="none"/>
        <vertAlign val="baseline"/>
        <sz val="9"/>
        <color theme="1" tint="0.34998626667073579"/>
        <name val="Calibri"/>
        <family val="2"/>
        <scheme val="minor"/>
      </font>
      <numFmt numFmtId="30" formatCode="@"/>
      <fill>
        <patternFill patternType="solid">
          <fgColor indexed="64"/>
          <bgColor theme="0"/>
        </patternFill>
      </fill>
      <alignment horizontal="left" vertical="center" textRotation="0" wrapText="1" indent="1" justifyLastLine="0" shrinkToFit="0" readingOrder="0"/>
      <border diagonalUp="0" diagonalDown="0">
        <left style="thin">
          <color theme="0" tint="-0.14993743705557422"/>
        </left>
        <right/>
        <top style="thin">
          <color theme="0" tint="-0.14993743705557422"/>
        </top>
        <bottom style="thin">
          <color theme="0" tint="-0.14993743705557422"/>
        </bottom>
      </border>
    </dxf>
    <dxf>
      <font>
        <strike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left" vertical="center" textRotation="0" indent="1" justifyLastLine="0" shrinkToFit="0" readingOrder="0"/>
      <border diagonalUp="0" diagonalDown="0">
        <left style="thin">
          <color theme="0" tint="-0.14993743705557422"/>
        </left>
        <right style="thin">
          <color theme="0" tint="-0.14993743705557422"/>
        </right>
        <top/>
        <bottom/>
        <vertical style="thin">
          <color theme="0" tint="-0.14993743705557422"/>
        </vertical>
        <horizontal/>
      </border>
    </dxf>
    <dxf>
      <font>
        <strike val="0"/>
        <outline val="0"/>
        <shadow val="0"/>
        <u val="none"/>
        <vertAlign val="baseline"/>
        <sz val="9"/>
        <color theme="1" tint="0.34998626667073579"/>
        <name val="Calibri"/>
        <family val="2"/>
        <scheme val="minor"/>
      </font>
      <fill>
        <patternFill patternType="solid">
          <fgColor indexed="64"/>
          <bgColor theme="7" tint="0.79998168889431442"/>
        </patternFill>
      </fill>
      <alignment horizontal="left" vertical="center" textRotation="0" indent="1" justifyLastLine="0" shrinkToFit="0" readingOrder="0"/>
      <border diagonalUp="0" diagonalDown="0">
        <left style="thin">
          <color theme="0" tint="-0.14993743705557422"/>
        </left>
        <right style="thin">
          <color theme="0" tint="-0.14993743705557422"/>
        </right>
      </border>
    </dxf>
    <dxf>
      <font>
        <strike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left" vertical="center" textRotation="0" indent="1" justifyLastLine="0" shrinkToFit="0" readingOrder="0"/>
      <border diagonalUp="0" diagonalDown="0">
        <left style="thin">
          <color theme="0" tint="-0.14993743705557422"/>
        </left>
        <right style="thin">
          <color theme="0" tint="-0.14993743705557422"/>
        </right>
        <top/>
        <bottom/>
        <vertical style="thin">
          <color theme="0" tint="-0.14993743705557422"/>
        </vertical>
        <horizontal/>
      </border>
    </dxf>
    <dxf>
      <font>
        <strike val="0"/>
        <outline val="0"/>
        <shadow val="0"/>
        <u val="none"/>
        <vertAlign val="baseline"/>
        <sz val="9"/>
        <color theme="1" tint="0.34998626667073579"/>
        <name val="Calibri"/>
        <family val="2"/>
        <scheme val="minor"/>
      </font>
      <numFmt numFmtId="30" formatCode="@"/>
      <fill>
        <patternFill>
          <fgColor indexed="64"/>
          <bgColor theme="0"/>
        </patternFill>
      </fill>
      <alignment horizontal="left" vertical="center" textRotation="0" indent="1" justifyLastLine="0" shrinkToFit="0" readingOrder="0"/>
      <border diagonalUp="0" diagonalDown="0">
        <left style="thin">
          <color theme="0" tint="-0.14993743705557422"/>
        </left>
        <right style="thin">
          <color theme="0" tint="-0.14993743705557422"/>
        </right>
      </border>
    </dxf>
    <dxf>
      <font>
        <strike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left" vertical="center" textRotation="0" indent="1" justifyLastLine="0" shrinkToFit="0" readingOrder="0"/>
      <border diagonalUp="0" diagonalDown="0">
        <left style="thin">
          <color theme="0" tint="-0.14993743705557422"/>
        </left>
        <right style="thin">
          <color theme="0" tint="-0.14993743705557422"/>
        </right>
        <top/>
        <bottom/>
        <vertical style="thin">
          <color theme="0" tint="-0.14993743705557422"/>
        </vertical>
        <horizontal/>
      </border>
    </dxf>
    <dxf>
      <font>
        <strike val="0"/>
        <outline val="0"/>
        <shadow val="0"/>
        <u val="none"/>
        <vertAlign val="baseline"/>
        <sz val="9"/>
        <color theme="1" tint="0.34998626667073579"/>
        <name val="Calibri"/>
        <family val="2"/>
        <scheme val="minor"/>
      </font>
      <numFmt numFmtId="30" formatCode="@"/>
      <fill>
        <patternFill>
          <fgColor indexed="64"/>
          <bgColor theme="0"/>
        </patternFill>
      </fill>
      <alignment horizontal="left" vertical="center" textRotation="0" indent="1" justifyLastLine="0" shrinkToFit="0" readingOrder="0"/>
      <border diagonalUp="0" diagonalDown="0">
        <right style="thin">
          <color theme="0" tint="-0.14993743705557422"/>
        </right>
      </border>
    </dxf>
    <dxf>
      <font>
        <b val="0"/>
        <i val="0"/>
        <strike val="0"/>
        <condense val="0"/>
        <extend val="0"/>
        <outline val="0"/>
        <shadow val="0"/>
        <u val="none"/>
        <vertAlign val="baseline"/>
        <sz val="12"/>
        <color theme="1" tint="0.34998626667073579"/>
        <name val="Calibri"/>
        <family val="2"/>
        <scheme val="minor"/>
      </font>
      <numFmt numFmtId="164" formatCode="&quot;kr.&quot;\ #,##0;[Red]&quot;kr.&quot;\ \-#,##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3743705557422"/>
        </left>
        <right/>
        <top style="thin">
          <color theme="0" tint="-0.14993743705557422"/>
        </top>
        <bottom style="thin">
          <color theme="0" tint="-0.14990691854609822"/>
        </bottom>
      </border>
      <protection locked="1" hidden="0"/>
    </dxf>
    <dxf>
      <font>
        <strike val="0"/>
        <outline val="0"/>
        <shadow val="0"/>
        <u val="none"/>
        <vertAlign val="baseline"/>
        <sz val="9"/>
        <color theme="1" tint="0.34998626667073579"/>
        <name val="Calibri"/>
        <family val="2"/>
        <scheme val="minor"/>
      </font>
      <numFmt numFmtId="30" formatCode="@"/>
      <fill>
        <patternFill>
          <fgColor indexed="64"/>
          <bgColor theme="0"/>
        </patternFill>
      </fill>
      <alignment horizontal="center" vertical="center" textRotation="0" indent="0" justifyLastLine="0" shrinkToFit="0" readingOrder="0"/>
      <border diagonalUp="0" diagonalDown="0">
        <left style="thin">
          <color theme="0" tint="-0.14993743705557422"/>
        </left>
        <right style="thin">
          <color theme="0" tint="-0.14993743705557422"/>
        </right>
        <top style="thin">
          <color theme="0" tint="-0.14993743705557422"/>
        </top>
        <bottom style="thin">
          <color theme="0" tint="-0.14993743705557422"/>
        </bottom>
      </border>
    </dxf>
    <dxf>
      <font>
        <b val="0"/>
        <i val="0"/>
        <strike val="0"/>
        <condense val="0"/>
        <extend val="0"/>
        <outline val="0"/>
        <shadow val="0"/>
        <u val="none"/>
        <vertAlign val="baseline"/>
        <sz val="12"/>
        <color theme="1" tint="0.34998626667073579"/>
        <name val="Calibri"/>
        <family val="2"/>
        <scheme val="minor"/>
      </font>
      <numFmt numFmtId="164" formatCode="&quot;kr.&quot;\ #,##0;[Red]&quot;kr.&quot;\ \-#,##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3743705557422"/>
        </left>
        <right style="thin">
          <color theme="0" tint="-0.14993743705557422"/>
        </right>
        <top style="thin">
          <color theme="0" tint="-0.14993743705557422"/>
        </top>
        <bottom style="thin">
          <color theme="0" tint="-0.14990691854609822"/>
        </bottom>
      </border>
      <protection locked="1" hidden="0"/>
    </dxf>
    <dxf>
      <font>
        <strike val="0"/>
        <outline val="0"/>
        <shadow val="0"/>
        <u val="none"/>
        <vertAlign val="baseline"/>
        <sz val="9"/>
        <color theme="1" tint="0.34998626667073579"/>
        <name val="Calibri"/>
        <family val="2"/>
        <scheme val="minor"/>
      </font>
      <fill>
        <patternFill>
          <fgColor indexed="64"/>
          <bgColor theme="0"/>
        </patternFill>
      </fill>
      <alignment horizontal="center" vertical="center" textRotation="0" indent="0" justifyLastLine="0" shrinkToFit="0" readingOrder="0"/>
      <border diagonalUp="0" diagonalDown="0">
        <left style="thin">
          <color theme="0" tint="-0.14993743705557422"/>
        </left>
        <right style="thin">
          <color theme="0" tint="-0.14993743705557422"/>
        </right>
        <top style="thin">
          <color theme="0" tint="-0.14993743705557422"/>
        </top>
        <bottom style="thin">
          <color theme="0" tint="-0.14993743705557422"/>
        </bottom>
      </border>
    </dxf>
    <dxf>
      <font>
        <b val="0"/>
        <i val="0"/>
        <strike val="0"/>
        <condense val="0"/>
        <extend val="0"/>
        <outline val="0"/>
        <shadow val="0"/>
        <u val="none"/>
        <vertAlign val="baseline"/>
        <sz val="12"/>
        <color theme="1" tint="0.34998626667073579"/>
        <name val="Calibri"/>
        <family val="2"/>
        <scheme val="minor"/>
      </font>
      <numFmt numFmtId="164" formatCode="&quot;kr.&quot;\ #,##0;[Red]&quot;kr.&quot;\ \-#,##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14993743705557422"/>
        </left>
        <right style="thin">
          <color theme="0" tint="-0.14993743705557422"/>
        </right>
        <top style="thin">
          <color theme="0" tint="-0.14993743705557422"/>
        </top>
        <bottom style="thin">
          <color theme="0" tint="-0.14990691854609822"/>
        </bottom>
      </border>
      <protection locked="1" hidden="0"/>
    </dxf>
    <dxf>
      <font>
        <strike val="0"/>
        <outline val="0"/>
        <shadow val="0"/>
        <u val="none"/>
        <vertAlign val="baseline"/>
        <sz val="9"/>
        <color theme="1" tint="0.34998626667073579"/>
        <name val="Calibri"/>
        <family val="2"/>
        <scheme val="minor"/>
      </font>
      <numFmt numFmtId="30" formatCode="@"/>
      <fill>
        <patternFill>
          <fgColor indexed="64"/>
          <bgColor theme="0"/>
        </patternFill>
      </fill>
      <alignment horizontal="center" vertical="center" textRotation="0" indent="0" justifyLastLine="0" shrinkToFit="0" readingOrder="0"/>
      <border diagonalUp="0" diagonalDown="0">
        <left style="thin">
          <color theme="0" tint="-0.14993743705557422"/>
        </left>
        <right style="thin">
          <color theme="0" tint="-0.14993743705557422"/>
        </right>
        <top style="thin">
          <color theme="0" tint="-0.14993743705557422"/>
        </top>
        <bottom style="thin">
          <color theme="0" tint="-0.14993743705557422"/>
        </bottom>
      </border>
    </dxf>
    <dxf>
      <font>
        <b/>
        <i val="0"/>
        <strike val="0"/>
        <condense val="0"/>
        <extend val="0"/>
        <outline val="0"/>
        <shadow val="0"/>
        <u val="none"/>
        <vertAlign val="baseline"/>
        <sz val="14"/>
        <color theme="1" tint="0.34998626667073579"/>
        <name val="Calibri"/>
        <family val="2"/>
        <scheme val="minor"/>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right style="thin">
          <color theme="0" tint="-0.14993743705557422"/>
        </right>
        <top style="thin">
          <color theme="0" tint="-0.14993743705557422"/>
        </top>
        <bottom style="thin">
          <color theme="0" tint="-0.14990691854609822"/>
        </bottom>
      </border>
    </dxf>
    <dxf>
      <font>
        <strike val="0"/>
        <outline val="0"/>
        <shadow val="0"/>
        <u val="none"/>
        <vertAlign val="baseline"/>
        <sz val="9"/>
        <color theme="1"/>
        <name val="Calibri"/>
        <family val="2"/>
        <scheme val="minor"/>
      </font>
      <numFmt numFmtId="30" formatCode="@"/>
      <fill>
        <patternFill>
          <fgColor indexed="64"/>
          <bgColor theme="0"/>
        </patternFill>
      </fill>
      <alignment horizontal="left" vertical="center" textRotation="0" indent="1" justifyLastLine="0" shrinkToFit="0" readingOrder="0"/>
      <border diagonalUp="0" diagonalDown="0">
        <left/>
        <right style="thin">
          <color theme="0" tint="-0.14993743705557422"/>
        </right>
        <top style="thin">
          <color theme="0" tint="-0.14993743705557422"/>
        </top>
        <bottom style="thin">
          <color theme="0" tint="-0.14993743705557422"/>
        </bottom>
      </border>
    </dxf>
    <dxf>
      <border>
        <top style="thin">
          <color theme="0" tint="-0.14993743705557422"/>
        </top>
      </border>
    </dxf>
    <dxf>
      <font>
        <strike val="0"/>
        <outline val="0"/>
        <shadow val="0"/>
        <u val="none"/>
        <vertAlign val="baseline"/>
        <sz val="12"/>
        <color theme="1" tint="0.34998626667073579"/>
        <name val="Calibri"/>
        <family val="2"/>
        <scheme val="minor"/>
      </font>
      <fill>
        <patternFill patternType="solid">
          <fgColor indexed="64"/>
          <bgColor theme="0" tint="-4.9989318521683403E-2"/>
        </patternFill>
      </fill>
      <alignment horizontal="left" vertical="center" textRotation="0" indent="1" justifyLastLine="0" shrinkToFit="0" readingOrder="0"/>
      <border diagonalUp="0" diagonalDown="0">
        <left style="thin">
          <color theme="0" tint="-0.14993743705557422"/>
        </left>
        <right style="thin">
          <color theme="0" tint="-0.14993743705557422"/>
        </right>
        <top/>
        <bottom/>
        <vertical style="thin">
          <color theme="0" tint="-0.14993743705557422"/>
        </vertical>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strike val="0"/>
        <outline val="0"/>
        <shadow val="0"/>
        <u val="none"/>
        <vertAlign val="baseline"/>
        <sz val="9"/>
        <color theme="1" tint="0.34998626667073579"/>
        <name val="Calibri"/>
        <family val="2"/>
        <scheme val="minor"/>
      </font>
      <fill>
        <patternFill>
          <fgColor indexed="64"/>
          <bgColor theme="0"/>
        </patternFill>
      </fill>
      <alignment horizontal="left" vertical="center" textRotation="0" indent="1" justifyLastLine="0" shrinkToFit="0" readingOrder="0"/>
    </dxf>
    <dxf>
      <border>
        <bottom style="thin">
          <color theme="0" tint="-0.14993743705557422"/>
        </bottom>
      </border>
    </dxf>
    <dxf>
      <font>
        <strike val="0"/>
        <outline val="0"/>
        <shadow val="0"/>
        <u val="none"/>
        <vertAlign val="baseline"/>
        <sz val="9"/>
        <color theme="1" tint="0.34998626667073579"/>
        <name val="Calibri"/>
        <family val="2"/>
        <scheme val="minor"/>
      </font>
      <fill>
        <patternFill>
          <fgColor indexed="64"/>
          <bgColor theme="0"/>
        </patternFill>
      </fill>
      <alignment horizontal="left" vertical="center" textRotation="0" indent="1" justifyLastLine="0" shrinkToFit="0" readingOrder="0"/>
      <border diagonalUp="0" diagonalDown="0" outline="0">
        <left style="thin">
          <color theme="0" tint="-0.14993743705557422"/>
        </left>
        <right style="thin">
          <color theme="0" tint="-0.14993743705557422"/>
        </right>
        <top/>
        <bottom/>
      </border>
    </dxf>
    <dxf>
      <fill>
        <patternFill>
          <bgColor theme="4" tint="0.79998168889431442"/>
        </patternFill>
      </fill>
    </dxf>
    <dxf>
      <font>
        <b/>
        <i val="0"/>
      </font>
      <fill>
        <patternFill>
          <bgColor theme="4" tint="0.39994506668294322"/>
        </patternFill>
      </fill>
      <border>
        <left style="thin">
          <color theme="4" tint="-0.24994659260841701"/>
        </left>
        <right style="thin">
          <color theme="4" tint="-0.24994659260841701"/>
        </right>
        <top style="double">
          <color theme="4" tint="-0.24994659260841701"/>
        </top>
        <bottom style="thin">
          <color theme="4" tint="-0.24994659260841701"/>
        </bottom>
      </border>
    </dxf>
    <dxf>
      <font>
        <b/>
        <i val="0"/>
        <color theme="0"/>
      </font>
      <fill>
        <patternFill>
          <bgColor theme="4" tint="-0.499984740745262"/>
        </patternFill>
      </fill>
      <border>
        <bottom style="thin">
          <color theme="0"/>
        </bottom>
      </border>
    </dxf>
    <dxf>
      <border>
        <left style="thin">
          <color theme="4" tint="-0.24994659260841701"/>
        </left>
        <right style="thin">
          <color theme="4" tint="-0.24994659260841701"/>
        </right>
        <top style="thin">
          <color theme="4" tint="-0.24994659260841701"/>
        </top>
        <bottom style="thin">
          <color theme="4" tint="-0.24994659260841701"/>
        </bottom>
      </border>
    </dxf>
    <dxf>
      <fill>
        <patternFill>
          <bgColor theme="4" tint="-0.499984740745262"/>
        </patternFill>
      </fill>
    </dxf>
    <dxf>
      <fill>
        <patternFill>
          <bgColor theme="4" tint="-0.499984740745262"/>
        </patternFill>
      </fill>
    </dxf>
    <dxf>
      <fill>
        <patternFill>
          <bgColor theme="9" tint="0.79998168889431442"/>
        </patternFill>
      </fill>
      <border diagonalUp="0" diagonalDown="0">
        <left/>
        <right/>
        <top/>
        <bottom/>
        <vertical/>
        <horizontal/>
      </border>
    </dxf>
  </dxfs>
  <tableStyles count="2" defaultTableStyle="TableStyleMedium2" defaultPivotStyle="PivotStyleLight16">
    <tableStyle name="FaktiskMånedligIndtægt" pivot="0" count="3" xr9:uid="{00000000-0011-0000-FFFF-FFFF00000000}">
      <tableStyleElement type="wholeTable" dxfId="31"/>
      <tableStyleElement type="headerRow" dxfId="30"/>
      <tableStyleElement type="firstColumn" dxfId="29"/>
    </tableStyle>
    <tableStyle name="Månedligt familiebudget" pivot="0" count="4" xr9:uid="{00000000-0011-0000-FFFF-FFFF01000000}">
      <tableStyleElement type="wholeTable" dxfId="28"/>
      <tableStyleElement type="headerRow" dxfId="27"/>
      <tableStyleElement type="totalRow" dxfId="26"/>
      <tableStyleElement type="firstRowStripe" dxfId="25"/>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272318</xdr:colOff>
      <xdr:row>0</xdr:row>
      <xdr:rowOff>43133</xdr:rowOff>
    </xdr:from>
    <xdr:to>
      <xdr:col>1</xdr:col>
      <xdr:colOff>776655</xdr:colOff>
      <xdr:row>2</xdr:row>
      <xdr:rowOff>118570</xdr:rowOff>
    </xdr:to>
    <xdr:pic>
      <xdr:nvPicPr>
        <xdr:cNvPr id="2" name="Grafik 1" descr="Familie med to børn">
          <a:extLst>
            <a:ext uri="{FF2B5EF4-FFF2-40B4-BE49-F238E27FC236}">
              <a16:creationId xmlns:a16="http://schemas.microsoft.com/office/drawing/2014/main" id="{6C93FDFE-CD6F-499B-9D9F-3FE4B25FDA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7568" y="43133"/>
          <a:ext cx="504337" cy="504062"/>
        </a:xfrm>
        <a:prstGeom prst="rect">
          <a:avLst/>
        </a:prstGeom>
      </xdr:spPr>
    </xdr:pic>
    <xdr:clientData/>
  </xdr:twoCellAnchor>
  <xdr:twoCellAnchor>
    <xdr:from>
      <xdr:col>1</xdr:col>
      <xdr:colOff>0</xdr:colOff>
      <xdr:row>7</xdr:row>
      <xdr:rowOff>9525</xdr:rowOff>
    </xdr:from>
    <xdr:to>
      <xdr:col>5</xdr:col>
      <xdr:colOff>904875</xdr:colOff>
      <xdr:row>20</xdr:row>
      <xdr:rowOff>180975</xdr:rowOff>
    </xdr:to>
    <xdr:sp macro="" textlink="">
      <xdr:nvSpPr>
        <xdr:cNvPr id="3" name="Tekstfelt 2">
          <a:extLst>
            <a:ext uri="{FF2B5EF4-FFF2-40B4-BE49-F238E27FC236}">
              <a16:creationId xmlns:a16="http://schemas.microsoft.com/office/drawing/2014/main" id="{15DB631C-AE76-4231-B5A6-35A6A60D42B8}"/>
            </a:ext>
          </a:extLst>
        </xdr:cNvPr>
        <xdr:cNvSpPr txBox="1"/>
      </xdr:nvSpPr>
      <xdr:spPr>
        <a:xfrm>
          <a:off x="95250" y="1695450"/>
          <a:ext cx="6134100" cy="3390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Hvilke datagrundlag er anvendt fx tilsvarende tilbud eller plejehjem</a:t>
          </a:r>
          <a:r>
            <a:rPr lang="da-DK" sz="1100" baseline="0"/>
            <a:t> er beregningerne baseret på?</a:t>
          </a:r>
          <a:endParaRPr lang="da-DK"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972985</xdr:colOff>
      <xdr:row>0</xdr:row>
      <xdr:rowOff>235564</xdr:rowOff>
    </xdr:from>
    <xdr:to>
      <xdr:col>9</xdr:col>
      <xdr:colOff>1</xdr:colOff>
      <xdr:row>4</xdr:row>
      <xdr:rowOff>10241</xdr:rowOff>
    </xdr:to>
    <xdr:sp macro="" textlink="">
      <xdr:nvSpPr>
        <xdr:cNvPr id="2" name="Tekstfelt 1">
          <a:extLst>
            <a:ext uri="{FF2B5EF4-FFF2-40B4-BE49-F238E27FC236}">
              <a16:creationId xmlns:a16="http://schemas.microsoft.com/office/drawing/2014/main" id="{4A82D064-16AA-1933-A2D2-B4AB0D8A4307}"/>
            </a:ext>
          </a:extLst>
        </xdr:cNvPr>
        <xdr:cNvSpPr txBox="1"/>
      </xdr:nvSpPr>
      <xdr:spPr>
        <a:xfrm>
          <a:off x="9627420" y="235564"/>
          <a:ext cx="2980404" cy="10856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 samlede fordelingsprocenter i de</a:t>
          </a:r>
          <a:r>
            <a:rPr lang="da-DK" sz="1100" baseline="0"/>
            <a:t> lysegrønne celler </a:t>
          </a:r>
          <a:r>
            <a:rPr lang="da-DK" sz="1100"/>
            <a:t>til højre benyttes i beregningerne i tabellen til højre. Ønsker man en fordeling, som afviger fra de generelle fordelinger, skal disse andele indsættes for den enkelte omkostning i rækkerne forneden.</a:t>
          </a:r>
        </a:p>
      </xdr:txBody>
    </xdr:sp>
    <xdr:clientData/>
  </xdr:twoCellAnchor>
  <xdr:twoCellAnchor>
    <xdr:from>
      <xdr:col>9</xdr:col>
      <xdr:colOff>1</xdr:colOff>
      <xdr:row>2</xdr:row>
      <xdr:rowOff>317500</xdr:rowOff>
    </xdr:from>
    <xdr:to>
      <xdr:col>10</xdr:col>
      <xdr:colOff>266290</xdr:colOff>
      <xdr:row>4</xdr:row>
      <xdr:rowOff>184355</xdr:rowOff>
    </xdr:to>
    <xdr:cxnSp macro="">
      <xdr:nvCxnSpPr>
        <xdr:cNvPr id="4" name="Lige pilforbindelse 3">
          <a:extLst>
            <a:ext uri="{FF2B5EF4-FFF2-40B4-BE49-F238E27FC236}">
              <a16:creationId xmlns:a16="http://schemas.microsoft.com/office/drawing/2014/main" id="{AF685834-0323-DF45-B0FF-E793CA2CE6FA}"/>
            </a:ext>
          </a:extLst>
        </xdr:cNvPr>
        <xdr:cNvCxnSpPr>
          <a:stCxn id="2" idx="3"/>
        </xdr:cNvCxnSpPr>
      </xdr:nvCxnSpPr>
      <xdr:spPr>
        <a:xfrm>
          <a:off x="12607824" y="778387"/>
          <a:ext cx="880805" cy="71693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272318</xdr:colOff>
      <xdr:row>0</xdr:row>
      <xdr:rowOff>43133</xdr:rowOff>
    </xdr:from>
    <xdr:to>
      <xdr:col>1</xdr:col>
      <xdr:colOff>776655</xdr:colOff>
      <xdr:row>2</xdr:row>
      <xdr:rowOff>118570</xdr:rowOff>
    </xdr:to>
    <xdr:pic>
      <xdr:nvPicPr>
        <xdr:cNvPr id="2" name="Grafik 1" descr="Familie med to børn">
          <a:extLst>
            <a:ext uri="{FF2B5EF4-FFF2-40B4-BE49-F238E27FC236}">
              <a16:creationId xmlns:a16="http://schemas.microsoft.com/office/drawing/2014/main" id="{6ED045E1-5F99-4643-8EC7-4B667FF15F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7568" y="43133"/>
          <a:ext cx="504337" cy="504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272318</xdr:colOff>
      <xdr:row>0</xdr:row>
      <xdr:rowOff>43133</xdr:rowOff>
    </xdr:from>
    <xdr:to>
      <xdr:col>1</xdr:col>
      <xdr:colOff>773480</xdr:colOff>
      <xdr:row>2</xdr:row>
      <xdr:rowOff>121745</xdr:rowOff>
    </xdr:to>
    <xdr:pic>
      <xdr:nvPicPr>
        <xdr:cNvPr id="2" name="Grafik 1" descr="Familie med to børn">
          <a:extLst>
            <a:ext uri="{FF2B5EF4-FFF2-40B4-BE49-F238E27FC236}">
              <a16:creationId xmlns:a16="http://schemas.microsoft.com/office/drawing/2014/main" id="{AAE4A8E4-5F47-4EF9-9B66-9EFA0124AB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7568" y="43133"/>
          <a:ext cx="504337" cy="5040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53243</xdr:colOff>
      <xdr:row>0</xdr:row>
      <xdr:rowOff>71708</xdr:rowOff>
    </xdr:from>
    <xdr:to>
      <xdr:col>1</xdr:col>
      <xdr:colOff>557580</xdr:colOff>
      <xdr:row>2</xdr:row>
      <xdr:rowOff>128095</xdr:rowOff>
    </xdr:to>
    <xdr:pic>
      <xdr:nvPicPr>
        <xdr:cNvPr id="2" name="Grafik 1" descr="Familie med to børn">
          <a:extLst>
            <a:ext uri="{FF2B5EF4-FFF2-40B4-BE49-F238E27FC236}">
              <a16:creationId xmlns:a16="http://schemas.microsoft.com/office/drawing/2014/main" id="{0EDEED23-AD56-47F1-918A-BC9749863A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48493" y="71708"/>
          <a:ext cx="504337" cy="5040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272318</xdr:colOff>
      <xdr:row>0</xdr:row>
      <xdr:rowOff>43133</xdr:rowOff>
    </xdr:from>
    <xdr:to>
      <xdr:col>1</xdr:col>
      <xdr:colOff>776655</xdr:colOff>
      <xdr:row>2</xdr:row>
      <xdr:rowOff>118570</xdr:rowOff>
    </xdr:to>
    <xdr:pic>
      <xdr:nvPicPr>
        <xdr:cNvPr id="2" name="Grafik 1" descr="Familie med to børn">
          <a:extLst>
            <a:ext uri="{FF2B5EF4-FFF2-40B4-BE49-F238E27FC236}">
              <a16:creationId xmlns:a16="http://schemas.microsoft.com/office/drawing/2014/main" id="{6AF66519-0D98-4CC5-BF1F-33F2D18EDB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7568" y="43133"/>
          <a:ext cx="504337" cy="50406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lig" displayName="Bolig" ref="B6:I42" totalsRowShown="0" headerRowDxfId="24" dataDxfId="22" totalsRowDxfId="20" headerRowBorderDxfId="23" tableBorderDxfId="21" totalsRowBorderDxfId="19">
  <tableColumns count="8">
    <tableColumn id="1" xr3:uid="{00000000-0010-0000-0000-000001000000}" name="Omkostningsposter" dataDxfId="18" totalsRowDxfId="17"/>
    <tableColumn id="2" xr3:uid="{00000000-0010-0000-0000-000002000000}" name="Udgiftskode (kontonummer, PSP element, Profitcenter eller lignende.)" dataDxfId="16" totalsRowDxfId="15" dataCellStyle="Beløb"/>
    <tableColumn id="3" xr3:uid="{00000000-0010-0000-0000-000003000000}" name="Beløb" dataDxfId="14" totalsRowDxfId="13"/>
    <tableColumn id="4" xr3:uid="{00000000-0010-0000-0000-000004000000}" name="Definition af omkostningstype" dataDxfId="12" totalsRowDxfId="11" dataCellStyle="Beløb"/>
    <tableColumn id="5" xr3:uid="{AD792268-386C-4591-94D9-3F0CA7578A9E}" name="Fordelingsnøgle" dataDxfId="10" totalsRowDxfId="9"/>
    <tableColumn id="6" xr3:uid="{79ECC85F-23C1-46C7-8D7D-BC8ADF8E2CEE}" name="Beregn med fordelingsnøgle" dataDxfId="8" totalsRowDxfId="7"/>
    <tableColumn id="7" xr3:uid="{C4BAF303-97BD-4EBC-A8B9-E65FD245BA59}" name="Beløb i alt" dataDxfId="6" totalsRowDxfId="5">
      <calculatedColumnFormula>_xlfn.IFNA(
IF(
   Bolig[[#This Row],[Beregn med fordelingsnøgle]]="Nej",
   Bolig[[#This Row],[Beløb]],
   IF(
      Bolig[[#This Row],[Fordelingsnøgle]]="Ingen",
      Bolig[[#This Row],[Beløb]],
      VLOOKUP(
         Bolig[[#This Row],[Fordelingsnøgle]],
         Fordelingsnøgler!$C$8:$D$37,
         2,
         FALSE
         )*Bolig[[#This Row],[Beløb]]
      )
   ),
"")</calculatedColumnFormula>
    </tableColumn>
    <tableColumn id="9" xr3:uid="{0F7A8AA1-5B42-41AD-B9B8-2DFB64175E80}" name="Kommentar/dokumentation henvisning" dataDxfId="4" dataCellStyle="Beløb"/>
  </tableColumns>
  <tableStyleInfo name="TableStyleLight4" showFirstColumn="0" showLastColumn="0" showRowStripes="1" showColumnStripes="0"/>
  <extLst>
    <ext xmlns:x14="http://schemas.microsoft.com/office/spreadsheetml/2009/9/main" uri="{504A1905-F514-4f6f-8877-14C23A59335A}">
      <x14:table altTextSummary="Eksempel på udgiftskategori og eksempeludgifter, der er relateret til eksempelkategorien, findes i denne tabel. Angiv forventede og faktiske omkostninger. Differencen beregnes automatisk"/>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F7759-271C-4A19-9772-8FFB50225465}">
  <sheetPr>
    <tabColor theme="8" tint="0.59999389629810485"/>
  </sheetPr>
  <dimension ref="B1:H6"/>
  <sheetViews>
    <sheetView showGridLines="0" topLeftCell="A24" zoomScaleNormal="100" workbookViewId="0">
      <selection activeCell="B30" sqref="B30"/>
    </sheetView>
  </sheetViews>
  <sheetFormatPr defaultColWidth="9.140625" defaultRowHeight="20.100000000000001" customHeight="1"/>
  <cols>
    <col min="1" max="1" width="1.42578125" customWidth="1"/>
    <col min="2" max="2" width="60.7109375" style="6" customWidth="1"/>
    <col min="3" max="3" width="16.5703125" style="7" customWidth="1"/>
    <col min="4" max="4" width="18" style="5" bestFit="1" customWidth="1"/>
    <col min="5" max="5" width="16.7109375" style="8" bestFit="1" customWidth="1"/>
    <col min="6" max="6" width="15" style="9" bestFit="1" customWidth="1"/>
    <col min="7" max="7" width="15.85546875" style="9" bestFit="1" customWidth="1"/>
    <col min="8" max="8" width="13.5703125" style="10" customWidth="1"/>
    <col min="9" max="9" width="5.28515625" bestFit="1" customWidth="1"/>
    <col min="10" max="10" width="18" customWidth="1"/>
  </cols>
  <sheetData>
    <row r="1" spans="2:6" customFormat="1" ht="15"/>
    <row r="2" spans="2:6" customFormat="1" ht="18.75">
      <c r="B2" s="175" t="s">
        <v>56</v>
      </c>
      <c r="C2" s="175"/>
      <c r="D2" s="175"/>
      <c r="E2" s="175"/>
      <c r="F2" s="175"/>
    </row>
    <row r="3" spans="2:6" customFormat="1" ht="21" customHeight="1">
      <c r="B3" s="2"/>
      <c r="C3" s="4"/>
      <c r="D3" s="4"/>
      <c r="E3" s="4"/>
      <c r="F3" s="1"/>
    </row>
    <row r="5" spans="2:6" ht="20.100000000000001" customHeight="1">
      <c r="B5" s="24" t="s">
        <v>135</v>
      </c>
      <c r="C5" s="47"/>
    </row>
    <row r="6" spans="2:6" ht="20.100000000000001" customHeight="1">
      <c r="B6" s="25" t="s">
        <v>136</v>
      </c>
      <c r="C6" s="26"/>
    </row>
  </sheetData>
  <mergeCells count="1">
    <mergeCell ref="B2:F2"/>
  </mergeCells>
  <printOptions horizontalCentered="1"/>
  <pageMargins left="0.25" right="0.25" top="0.5" bottom="0.5" header="0.5" footer="0.5"/>
  <pageSetup paperSize="9" scale="60" orientation="portrait" r:id="rId1"/>
  <headerFooter differentFirst="1" alignWithMargins="0">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tabColor theme="9" tint="0.59999389629810485"/>
  </sheetPr>
  <dimension ref="B1:U44"/>
  <sheetViews>
    <sheetView showGridLines="0" tabSelected="1" zoomScale="85" zoomScaleNormal="85" workbookViewId="0">
      <selection activeCell="E25" sqref="E25"/>
    </sheetView>
  </sheetViews>
  <sheetFormatPr defaultColWidth="9.140625" defaultRowHeight="20.100000000000001" customHeight="1"/>
  <cols>
    <col min="1" max="1" width="1.42578125" customWidth="1"/>
    <col min="2" max="2" width="29.5703125" style="6" bestFit="1" customWidth="1"/>
    <col min="3" max="3" width="27.5703125" style="7" bestFit="1" customWidth="1"/>
    <col min="4" max="4" width="18" style="5" bestFit="1" customWidth="1"/>
    <col min="5" max="5" width="31.7109375" style="8" customWidth="1"/>
    <col min="6" max="6" width="21.7109375" style="9" customWidth="1"/>
    <col min="7" max="7" width="17.140625" style="9" bestFit="1" customWidth="1"/>
    <col min="8" max="8" width="20.7109375" style="10" customWidth="1"/>
    <col min="9" max="9" width="21.28515625" bestFit="1" customWidth="1"/>
    <col min="11" max="11" width="29.28515625" customWidth="1"/>
    <col min="12" max="12" width="12.28515625" customWidth="1"/>
    <col min="13" max="13" width="11.140625" bestFit="1" customWidth="1"/>
    <col min="14" max="14" width="12.85546875" bestFit="1" customWidth="1"/>
    <col min="15" max="15" width="13.140625" customWidth="1"/>
    <col min="17" max="17" width="16.85546875" bestFit="1" customWidth="1"/>
    <col min="18" max="18" width="15.28515625" bestFit="1" customWidth="1"/>
    <col min="19" max="19" width="14" bestFit="1" customWidth="1"/>
    <col min="20" max="20" width="15.140625" customWidth="1"/>
    <col min="21" max="21" width="13.5703125" bestFit="1" customWidth="1"/>
    <col min="22" max="22" width="17.7109375" customWidth="1"/>
  </cols>
  <sheetData>
    <row r="1" spans="2:21" ht="20.100000000000001" customHeight="1">
      <c r="B1" s="6" t="s">
        <v>311</v>
      </c>
    </row>
    <row r="2" spans="2:21" ht="26.25" customHeight="1">
      <c r="B2" s="106" t="s">
        <v>138</v>
      </c>
      <c r="C2" s="110">
        <f>SUM(H:H)</f>
        <v>54483673.597239278</v>
      </c>
      <c r="D2" s="21"/>
      <c r="E2" s="106" t="s">
        <v>280</v>
      </c>
      <c r="F2" s="107">
        <v>6.3E-2</v>
      </c>
      <c r="G2" s="21"/>
      <c r="H2" s="21"/>
      <c r="I2" s="21"/>
      <c r="K2" s="20" t="s">
        <v>209</v>
      </c>
      <c r="L2" s="20"/>
      <c r="M2" s="20"/>
      <c r="N2" s="20"/>
      <c r="Q2" s="20" t="s">
        <v>212</v>
      </c>
      <c r="R2" s="20"/>
      <c r="S2" s="20"/>
      <c r="T2" s="20"/>
    </row>
    <row r="3" spans="2:21" ht="26.25" customHeight="1">
      <c r="B3" s="106" t="s">
        <v>223</v>
      </c>
      <c r="C3" s="109" t="s">
        <v>224</v>
      </c>
      <c r="D3" s="21"/>
      <c r="E3" s="106" t="s">
        <v>281</v>
      </c>
      <c r="F3" s="108">
        <v>4.82E-2</v>
      </c>
      <c r="G3" s="21"/>
      <c r="H3" s="21"/>
      <c r="I3" s="21"/>
      <c r="K3" s="182" t="s">
        <v>205</v>
      </c>
      <c r="L3" s="184" t="s">
        <v>208</v>
      </c>
      <c r="M3" s="185"/>
      <c r="N3" s="182" t="s">
        <v>207</v>
      </c>
      <c r="O3" s="180" t="s">
        <v>308</v>
      </c>
      <c r="P3" s="180" t="s">
        <v>242</v>
      </c>
      <c r="Q3" s="182" t="s">
        <v>205</v>
      </c>
      <c r="R3" s="184" t="s">
        <v>208</v>
      </c>
      <c r="S3" s="185"/>
      <c r="T3" s="182" t="s">
        <v>207</v>
      </c>
      <c r="U3" s="180" t="s">
        <v>308</v>
      </c>
    </row>
    <row r="4" spans="2:21" ht="41.25" customHeight="1">
      <c r="B4" s="106" t="s">
        <v>134</v>
      </c>
      <c r="C4" s="109">
        <v>2024</v>
      </c>
      <c r="D4" s="21"/>
      <c r="E4" s="21"/>
      <c r="F4" s="21"/>
      <c r="G4" s="21"/>
      <c r="H4" s="21"/>
      <c r="I4" s="21"/>
      <c r="K4" s="183"/>
      <c r="L4" s="173" t="s">
        <v>313</v>
      </c>
      <c r="M4" s="174" t="s">
        <v>312</v>
      </c>
      <c r="N4" s="183"/>
      <c r="O4" s="181"/>
      <c r="P4" s="181"/>
      <c r="Q4" s="183"/>
      <c r="R4" s="173" t="s">
        <v>313</v>
      </c>
      <c r="S4" s="174" t="s">
        <v>312</v>
      </c>
      <c r="T4" s="183"/>
      <c r="U4" s="181"/>
    </row>
    <row r="5" spans="2:21" ht="7.5" customHeight="1">
      <c r="B5" s="63"/>
      <c r="C5" s="64"/>
      <c r="D5" s="21"/>
      <c r="E5" s="21"/>
      <c r="F5" s="21"/>
      <c r="G5" s="65"/>
      <c r="H5" s="21"/>
      <c r="I5" s="21"/>
      <c r="K5" s="188">
        <v>0.7</v>
      </c>
      <c r="L5" s="186">
        <v>0.2</v>
      </c>
      <c r="M5" s="186">
        <v>0.05</v>
      </c>
      <c r="N5" s="186">
        <v>4.4999999999999998E-2</v>
      </c>
      <c r="O5" s="190">
        <v>5.0000000000000001E-3</v>
      </c>
      <c r="P5" s="89">
        <f>IF(OR(SUM(K5:O6)=1,SUM(K5:O6)=0),0,1)</f>
        <v>0</v>
      </c>
      <c r="Q5" s="176"/>
      <c r="R5" s="177"/>
      <c r="S5" s="177"/>
      <c r="T5" s="177"/>
      <c r="U5" s="177"/>
    </row>
    <row r="6" spans="2:21" ht="27" customHeight="1">
      <c r="B6" s="12" t="s">
        <v>128</v>
      </c>
      <c r="C6" s="12" t="s">
        <v>42</v>
      </c>
      <c r="D6" s="12" t="s">
        <v>0</v>
      </c>
      <c r="E6" s="12" t="s">
        <v>52</v>
      </c>
      <c r="F6" s="12" t="s">
        <v>1</v>
      </c>
      <c r="G6" s="12" t="s">
        <v>5</v>
      </c>
      <c r="H6" s="29" t="s">
        <v>4</v>
      </c>
      <c r="I6" s="12" t="s">
        <v>43</v>
      </c>
      <c r="K6" s="189"/>
      <c r="L6" s="187"/>
      <c r="M6" s="187"/>
      <c r="N6" s="187"/>
      <c r="O6" s="191"/>
      <c r="P6" s="89">
        <f>IF(OR(SUM(K5:O6)=1,SUM(K5:O6)=0),0,1)</f>
        <v>0</v>
      </c>
      <c r="Q6" s="178"/>
      <c r="R6" s="179"/>
      <c r="S6" s="179"/>
      <c r="T6" s="179"/>
      <c r="U6" s="179"/>
    </row>
    <row r="7" spans="2:21" ht="15">
      <c r="B7" s="79" t="s">
        <v>213</v>
      </c>
      <c r="C7" s="80"/>
      <c r="D7" s="81"/>
      <c r="E7" s="82"/>
      <c r="F7" s="83"/>
      <c r="G7" s="83"/>
      <c r="H7" s="83" t="str">
        <f>_xlfn.IFNA(
IF(
   Bolig[[#This Row],[Beregn med fordelingsnøgle]]="Nej",
   Bolig[[#This Row],[Beløb]],
   IF(
      Bolig[[#This Row],[Fordelingsnøgle]]="Ingen",
      Bolig[[#This Row],[Beløb]],
      VLOOKUP(
         Bolig[[#This Row],[Fordelingsnøgle]],
         Fordelingsnøgler!$C$8:$D$37,
         2,
         FALSE
         )*Bolig[[#This Row],[Beløb]]
      )
   ),
"")</f>
        <v/>
      </c>
      <c r="I7" s="84"/>
      <c r="K7" s="87"/>
      <c r="L7" s="88"/>
      <c r="M7" s="87"/>
      <c r="N7" s="88"/>
      <c r="O7" s="87"/>
      <c r="P7" s="89">
        <f>IF(OR(SUM(K7:O7)=1,SUM(K7:O7)=0),0,1)</f>
        <v>0</v>
      </c>
      <c r="Q7" s="87"/>
      <c r="R7" s="88"/>
      <c r="S7" s="87"/>
      <c r="T7" s="88"/>
      <c r="U7" s="87"/>
    </row>
    <row r="8" spans="2:21" ht="15">
      <c r="B8" s="13" t="s">
        <v>210</v>
      </c>
      <c r="C8" s="14"/>
      <c r="D8" s="17">
        <v>50000000</v>
      </c>
      <c r="E8" s="15" t="s">
        <v>47</v>
      </c>
      <c r="F8" s="16" t="s">
        <v>3</v>
      </c>
      <c r="G8" s="16" t="s">
        <v>40</v>
      </c>
      <c r="H8" s="30">
        <f>_xlfn.IFNA(
IF(
   Bolig[[#This Row],[Beregn med fordelingsnøgle]]="Nej",
   Bolig[[#This Row],[Beløb]],
   IF(
      Bolig[[#This Row],[Fordelingsnøgle]]="Ingen",
      Bolig[[#This Row],[Beløb]],
      VLOOKUP(
         Bolig[[#This Row],[Fordelingsnøgle]],
         Fordelingsnøgler!$C$8:$D$37,
         2,
         FALSE
         )*Bolig[[#This Row],[Beløb]]
      )
   ),
"")</f>
        <v>37619236.049771689</v>
      </c>
      <c r="I8" s="54"/>
      <c r="K8" s="61"/>
      <c r="L8" s="59"/>
      <c r="M8" s="62"/>
      <c r="N8" s="58"/>
      <c r="O8" s="59"/>
      <c r="P8" s="89">
        <f t="shared" ref="P8:P42" si="0">IF(OR(SUM(K8:O8)=1,SUM(K8:O8)=0),0,1)</f>
        <v>0</v>
      </c>
      <c r="Q8" s="66">
        <f>IF(SUM($K8:$O8)=0,$H8*K$5,$H8*K8)</f>
        <v>26333465.234840181</v>
      </c>
      <c r="R8" s="66">
        <f t="shared" ref="R8:U8" si="1">IF(SUM($K8:$O8)=0,$H8*L$5,$H8*L8)</f>
        <v>7523847.2099543381</v>
      </c>
      <c r="S8" s="66">
        <f t="shared" si="1"/>
        <v>1880961.8024885845</v>
      </c>
      <c r="T8" s="66">
        <f t="shared" si="1"/>
        <v>1692865.6222397259</v>
      </c>
      <c r="U8" s="66">
        <f t="shared" si="1"/>
        <v>188096.18024885844</v>
      </c>
    </row>
    <row r="9" spans="2:21" ht="15">
      <c r="B9" s="13" t="s">
        <v>211</v>
      </c>
      <c r="C9" s="14"/>
      <c r="D9" s="17">
        <v>5000000</v>
      </c>
      <c r="E9" s="15" t="s">
        <v>47</v>
      </c>
      <c r="F9" s="16" t="s">
        <v>13</v>
      </c>
      <c r="G9" s="16" t="s">
        <v>40</v>
      </c>
      <c r="H9" s="30">
        <f>_xlfn.IFNA(
IF(
   Bolig[[#This Row],[Beregn med fordelingsnøgle]]="Nej",
   Bolig[[#This Row],[Beløb]],
   IF(
      Bolig[[#This Row],[Fordelingsnøgle]]="Ingen",
      Bolig[[#This Row],[Beløb]],
      VLOOKUP(
         Bolig[[#This Row],[Fordelingsnøgle]],
         Fordelingsnøgler!$C$8:$D$37,
         2,
         FALSE
         )*Bolig[[#This Row],[Beløb]]
      )
   ),
0)</f>
        <v>2835820.8955223877</v>
      </c>
      <c r="I9" s="54"/>
      <c r="K9" s="58">
        <v>0.5</v>
      </c>
      <c r="L9" s="59">
        <v>0.3</v>
      </c>
      <c r="M9" s="60">
        <v>0.15</v>
      </c>
      <c r="N9" s="58"/>
      <c r="O9" s="59">
        <v>0.05</v>
      </c>
      <c r="P9" s="89">
        <f t="shared" si="0"/>
        <v>0</v>
      </c>
      <c r="Q9" s="66">
        <f t="shared" ref="Q9" si="2">IF(SUM($K9:$O9)=0,$H9*K$5,$H9*K9)</f>
        <v>1417910.4477611938</v>
      </c>
      <c r="R9" s="66">
        <f t="shared" ref="R9:R10" si="3">IF(SUM($K9:$O9)=0,$H9*L$5,$H9*L9)</f>
        <v>850746.26865671633</v>
      </c>
      <c r="S9" s="66">
        <f t="shared" ref="S9:S10" si="4">IF(SUM($K9:$O9)=0,$H9*M$5,$H9*M9)</f>
        <v>425373.13432835817</v>
      </c>
      <c r="T9" s="66">
        <f t="shared" ref="T9:T10" si="5">IF(SUM($K9:$O9)=0,$H9*N$5,$H9*N9)</f>
        <v>0</v>
      </c>
      <c r="U9" s="66">
        <f t="shared" ref="U9:U10" si="6">IF(SUM($K9:$O9)=0,$H9*O$5,$H9*O9)</f>
        <v>141791.04477611938</v>
      </c>
    </row>
    <row r="10" spans="2:21" ht="15">
      <c r="B10" s="13"/>
      <c r="C10" s="14"/>
      <c r="D10" s="17"/>
      <c r="E10" s="15"/>
      <c r="F10" s="16"/>
      <c r="G10" s="16" t="s">
        <v>40</v>
      </c>
      <c r="H10" s="30">
        <f>_xlfn.IFNA(
IF(
   Bolig[[#This Row],[Beregn med fordelingsnøgle]]="Nej",
   Bolig[[#This Row],[Beløb]],
   IF(
      Bolig[[#This Row],[Fordelingsnøgle]]="Ingen",
      Bolig[[#This Row],[Beløb]],
      VLOOKUP(
         Bolig[[#This Row],[Fordelingsnøgle]],
         Fordelingsnøgler!$C$8:$D$37,
         2,
         FALSE
         )*Bolig[[#This Row],[Beløb]]
      )
   ),
0)</f>
        <v>0</v>
      </c>
      <c r="I10" s="54"/>
      <c r="K10" s="58"/>
      <c r="L10" s="59"/>
      <c r="M10" s="60"/>
      <c r="N10" s="58"/>
      <c r="O10" s="59"/>
      <c r="P10" s="89">
        <f t="shared" si="0"/>
        <v>0</v>
      </c>
      <c r="Q10" s="66">
        <f>IF(SUM($K10:$O10)=0,$H10*K$5,$H10*K10)</f>
        <v>0</v>
      </c>
      <c r="R10" s="66">
        <f t="shared" si="3"/>
        <v>0</v>
      </c>
      <c r="S10" s="66">
        <f t="shared" si="4"/>
        <v>0</v>
      </c>
      <c r="T10" s="66">
        <f t="shared" si="5"/>
        <v>0</v>
      </c>
      <c r="U10" s="66">
        <f t="shared" si="6"/>
        <v>0</v>
      </c>
    </row>
    <row r="11" spans="2:21" ht="15.75" customHeight="1">
      <c r="B11" s="79" t="s">
        <v>214</v>
      </c>
      <c r="C11" s="80"/>
      <c r="D11" s="81"/>
      <c r="E11" s="82"/>
      <c r="F11" s="83"/>
      <c r="G11" s="83"/>
      <c r="H11" s="83" t="str">
        <f>_xlfn.IFNA(
IF(
   Bolig[[#This Row],[Beregn med fordelingsnøgle]]="Nej",
   Bolig[[#This Row],[Beløb]],
   IF(
      Bolig[[#This Row],[Fordelingsnøgle]]="Ingen",
      Bolig[[#This Row],[Beløb]],
      VLOOKUP(
         Bolig[[#This Row],[Fordelingsnøgle]],
         Fordelingsnøgler!$C$8:$D$37,
         2,
         FALSE
         )*Bolig[[#This Row],[Beløb]]
      )
   ),
"")</f>
        <v/>
      </c>
      <c r="I11" s="84"/>
      <c r="K11" s="87"/>
      <c r="L11" s="88"/>
      <c r="M11" s="87"/>
      <c r="N11" s="88"/>
      <c r="O11" s="87"/>
      <c r="P11" s="89">
        <f t="shared" si="0"/>
        <v>0</v>
      </c>
      <c r="Q11" s="87"/>
      <c r="R11" s="88"/>
      <c r="S11" s="87"/>
      <c r="T11" s="88"/>
      <c r="U11" s="87"/>
    </row>
    <row r="12" spans="2:21" ht="15">
      <c r="B12" s="13" t="s">
        <v>276</v>
      </c>
      <c r="C12" s="14"/>
      <c r="D12" s="17">
        <v>8000000</v>
      </c>
      <c r="E12" s="15" t="s">
        <v>48</v>
      </c>
      <c r="F12" s="16" t="s">
        <v>3</v>
      </c>
      <c r="G12" s="16" t="s">
        <v>40</v>
      </c>
      <c r="H12" s="30">
        <f>_xlfn.IFNA(
IF(
   Bolig[[#This Row],[Beregn med fordelingsnøgle]]="Nej",
   Bolig[[#This Row],[Beløb]],
   IF(
      Bolig[[#This Row],[Fordelingsnøgle]]="Ingen",
      Bolig[[#This Row],[Beløb]],
      VLOOKUP(
         Bolig[[#This Row],[Fordelingsnøgle]],
         Fordelingsnøgler!$C$8:$D$37,
         2,
         FALSE
         )*Bolig[[#This Row],[Beløb]]
      )
   ),
0)</f>
        <v>6019077.76796347</v>
      </c>
      <c r="I12" s="54"/>
      <c r="K12" s="58"/>
      <c r="L12" s="59"/>
      <c r="M12" s="60"/>
      <c r="N12" s="58"/>
      <c r="O12" s="59"/>
      <c r="P12" s="89">
        <f t="shared" si="0"/>
        <v>0</v>
      </c>
      <c r="Q12" s="66">
        <f>IF(SUM($K12:$O12)=0,$H12*K$5,$H12*K12)</f>
        <v>4213354.4375744285</v>
      </c>
      <c r="R12" s="66">
        <f t="shared" ref="R12:R14" si="7">IF(SUM($K12:$O12)=0,$H12*L$5,$H12*L12)</f>
        <v>1203815.553592694</v>
      </c>
      <c r="S12" s="66">
        <f t="shared" ref="S12:S14" si="8">IF(SUM($K12:$O12)=0,$H12*M$5,$H12*M12)</f>
        <v>300953.8883981735</v>
      </c>
      <c r="T12" s="66">
        <f t="shared" ref="T12:T14" si="9">IF(SUM($K12:$O12)=0,$H12*N$5,$H12*N12)</f>
        <v>270858.49955835612</v>
      </c>
      <c r="U12" s="66">
        <f t="shared" ref="U12:U14" si="10">IF(SUM($K12:$O12)=0,$H12*O$5,$H12*O12)</f>
        <v>30095.388839817351</v>
      </c>
    </row>
    <row r="13" spans="2:21" ht="15">
      <c r="B13" s="13" t="s">
        <v>277</v>
      </c>
      <c r="C13" s="14"/>
      <c r="D13" s="17">
        <v>4000000</v>
      </c>
      <c r="E13" s="15" t="s">
        <v>48</v>
      </c>
      <c r="F13" s="16" t="s">
        <v>3</v>
      </c>
      <c r="G13" s="16" t="s">
        <v>40</v>
      </c>
      <c r="H13" s="30">
        <f>_xlfn.IFNA(
IF(
   Bolig[[#This Row],[Beregn med fordelingsnøgle]]="Nej",
   Bolig[[#This Row],[Beløb]],
   IF(
      Bolig[[#This Row],[Fordelingsnøgle]]="Ingen",
      Bolig[[#This Row],[Beløb]],
      VLOOKUP(
         Bolig[[#This Row],[Fordelingsnøgle]],
         Fordelingsnøgler!$C$8:$D$37,
         2,
         FALSE
         )*Bolig[[#This Row],[Beløb]]
      )
   ),
0)</f>
        <v>3009538.883981735</v>
      </c>
      <c r="I13" s="54"/>
      <c r="K13" s="58"/>
      <c r="L13" s="59"/>
      <c r="M13" s="60"/>
      <c r="N13" s="58"/>
      <c r="O13" s="59"/>
      <c r="P13" s="89">
        <f t="shared" si="0"/>
        <v>0</v>
      </c>
      <c r="Q13" s="66">
        <f t="shared" ref="Q13" si="11">IF(SUM($K13:$O13)=0,$H13*K$5,$H13*K13)</f>
        <v>2106677.2187872143</v>
      </c>
      <c r="R13" s="66">
        <f t="shared" si="7"/>
        <v>601907.776796347</v>
      </c>
      <c r="S13" s="66">
        <f t="shared" si="8"/>
        <v>150476.94419908675</v>
      </c>
      <c r="T13" s="66">
        <f t="shared" si="9"/>
        <v>135429.24977917806</v>
      </c>
      <c r="U13" s="66">
        <f t="shared" si="10"/>
        <v>15047.694419908676</v>
      </c>
    </row>
    <row r="14" spans="2:21" ht="15">
      <c r="B14" s="13"/>
      <c r="C14" s="14"/>
      <c r="D14" s="17"/>
      <c r="E14" s="15"/>
      <c r="F14" s="16"/>
      <c r="G14" s="16" t="s">
        <v>40</v>
      </c>
      <c r="H14" s="30">
        <f>_xlfn.IFNA(
IF(
   Bolig[[#This Row],[Beregn med fordelingsnøgle]]="Nej",
   Bolig[[#This Row],[Beløb]],
   IF(
      Bolig[[#This Row],[Fordelingsnøgle]]="Ingen",
      Bolig[[#This Row],[Beløb]],
      VLOOKUP(
         Bolig[[#This Row],[Fordelingsnøgle]],
         Fordelingsnøgler!$C$8:$D$37,
         2,
         FALSE
         )*Bolig[[#This Row],[Beløb]]
      )
   ),
0)</f>
        <v>0</v>
      </c>
      <c r="I14" s="54"/>
      <c r="K14" s="58"/>
      <c r="L14" s="59"/>
      <c r="M14" s="60"/>
      <c r="N14" s="58"/>
      <c r="O14" s="59"/>
      <c r="P14" s="89">
        <f t="shared" si="0"/>
        <v>0</v>
      </c>
      <c r="Q14" s="66">
        <f>IF(SUM($K14:$O14)=0,$H14*K$5,$H14*K14)</f>
        <v>0</v>
      </c>
      <c r="R14" s="66">
        <f t="shared" si="7"/>
        <v>0</v>
      </c>
      <c r="S14" s="66">
        <f t="shared" si="8"/>
        <v>0</v>
      </c>
      <c r="T14" s="66">
        <f t="shared" si="9"/>
        <v>0</v>
      </c>
      <c r="U14" s="66">
        <f t="shared" si="10"/>
        <v>0</v>
      </c>
    </row>
    <row r="15" spans="2:21" ht="15">
      <c r="B15" s="79" t="s">
        <v>215</v>
      </c>
      <c r="C15" s="80"/>
      <c r="D15" s="81"/>
      <c r="E15" s="82"/>
      <c r="F15" s="83"/>
      <c r="G15" s="83"/>
      <c r="H15" s="83" t="str">
        <f>_xlfn.IFNA(
IF(
   Bolig[[#This Row],[Beregn med fordelingsnøgle]]="Nej",
   Bolig[[#This Row],[Beløb]],
   IF(
      Bolig[[#This Row],[Fordelingsnøgle]]="Ingen",
      Bolig[[#This Row],[Beløb]],
      VLOOKUP(
         Bolig[[#This Row],[Fordelingsnøgle]],
         Fordelingsnøgler!$C$8:$D$37,
         2,
         FALSE
         )*Bolig[[#This Row],[Beløb]]
      )
   ),
"")</f>
        <v/>
      </c>
      <c r="I15" s="84"/>
      <c r="K15" s="87"/>
      <c r="L15" s="88"/>
      <c r="M15" s="87"/>
      <c r="N15" s="88"/>
      <c r="O15" s="87"/>
      <c r="P15" s="89">
        <f t="shared" si="0"/>
        <v>0</v>
      </c>
      <c r="Q15" s="87"/>
      <c r="R15" s="88"/>
      <c r="S15" s="87"/>
      <c r="T15" s="88"/>
      <c r="U15" s="87"/>
    </row>
    <row r="16" spans="2:21" ht="15">
      <c r="B16" s="13" t="s">
        <v>278</v>
      </c>
      <c r="C16" s="14"/>
      <c r="D16" s="17">
        <v>5000000</v>
      </c>
      <c r="E16" s="15" t="s">
        <v>49</v>
      </c>
      <c r="F16" s="16" t="s">
        <v>2</v>
      </c>
      <c r="G16" s="16" t="s">
        <v>243</v>
      </c>
      <c r="H16" s="30">
        <f>_xlfn.IFNA(
IF(
   Bolig[[#This Row],[Beregn med fordelingsnøgle]]="Nej",
   Bolig[[#This Row],[Beløb]],
   IF(
      Bolig[[#This Row],[Fordelingsnøgle]]="Ingen",
      Bolig[[#This Row],[Beløb]],
      VLOOKUP(
         Bolig[[#This Row],[Fordelingsnøgle]],
         Fordelingsnøgler!$C$8:$D$37,
         2,
         FALSE
         )*Bolig[[#This Row],[Beløb]]
      )
   ),
0)</f>
        <v>5000000</v>
      </c>
      <c r="I16" s="54"/>
      <c r="K16" s="58"/>
      <c r="L16" s="59"/>
      <c r="M16" s="60"/>
      <c r="N16" s="58"/>
      <c r="O16" s="59"/>
      <c r="P16" s="89">
        <f t="shared" si="0"/>
        <v>0</v>
      </c>
      <c r="Q16" s="66">
        <f>IF(SUM($K16:$O16)=0,$H16*K$5,$H16*K16)</f>
        <v>3500000</v>
      </c>
      <c r="R16" s="66">
        <f t="shared" ref="R16:R18" si="12">IF(SUM($K16:$O16)=0,$H16*L$5,$H16*L16)</f>
        <v>1000000</v>
      </c>
      <c r="S16" s="66">
        <f t="shared" ref="S16:S18" si="13">IF(SUM($K16:$O16)=0,$H16*M$5,$H16*M16)</f>
        <v>250000</v>
      </c>
      <c r="T16" s="66">
        <f t="shared" ref="T16:T18" si="14">IF(SUM($K16:$O16)=0,$H16*N$5,$H16*N16)</f>
        <v>225000</v>
      </c>
      <c r="U16" s="66">
        <f t="shared" ref="U16:U18" si="15">IF(SUM($K16:$O16)=0,$H16*O$5,$H16*O16)</f>
        <v>25000</v>
      </c>
    </row>
    <row r="17" spans="2:21" ht="15">
      <c r="B17" s="13"/>
      <c r="C17" s="14"/>
      <c r="D17" s="17"/>
      <c r="E17" s="15"/>
      <c r="F17" s="16"/>
      <c r="G17" s="16"/>
      <c r="H17" s="30">
        <f>_xlfn.IFNA(
IF(
   Bolig[[#This Row],[Beregn med fordelingsnøgle]]="Nej",
   Bolig[[#This Row],[Beløb]],
   IF(
      Bolig[[#This Row],[Fordelingsnøgle]]="Ingen",
      Bolig[[#This Row],[Beløb]],
      VLOOKUP(
         Bolig[[#This Row],[Fordelingsnøgle]],
         Fordelingsnøgler!$C$8:$D$37,
         2,
         FALSE
         )*Bolig[[#This Row],[Beløb]]
      )
   ),
0)</f>
        <v>0</v>
      </c>
      <c r="I17" s="54"/>
      <c r="K17" s="58"/>
      <c r="L17" s="59"/>
      <c r="M17" s="60"/>
      <c r="N17" s="58"/>
      <c r="O17" s="59"/>
      <c r="P17" s="89">
        <f t="shared" si="0"/>
        <v>0</v>
      </c>
      <c r="Q17" s="66">
        <f t="shared" ref="Q17" si="16">IF(SUM($K17:$O17)=0,$H17*K$5,$H17*K17)</f>
        <v>0</v>
      </c>
      <c r="R17" s="66">
        <f t="shared" si="12"/>
        <v>0</v>
      </c>
      <c r="S17" s="66">
        <f t="shared" si="13"/>
        <v>0</v>
      </c>
      <c r="T17" s="66">
        <f t="shared" si="14"/>
        <v>0</v>
      </c>
      <c r="U17" s="66">
        <f t="shared" si="15"/>
        <v>0</v>
      </c>
    </row>
    <row r="18" spans="2:21" ht="15">
      <c r="B18" s="13"/>
      <c r="C18" s="14"/>
      <c r="D18" s="17"/>
      <c r="E18" s="15"/>
      <c r="F18" s="16"/>
      <c r="G18" s="16"/>
      <c r="H18" s="30">
        <f>_xlfn.IFNA(
IF(
   Bolig[[#This Row],[Beregn med fordelingsnøgle]]="Nej",
   Bolig[[#This Row],[Beløb]],
   IF(
      Bolig[[#This Row],[Fordelingsnøgle]]="Ingen",
      Bolig[[#This Row],[Beløb]],
      VLOOKUP(
         Bolig[[#This Row],[Fordelingsnøgle]],
         Fordelingsnøgler!$C$8:$D$37,
         2,
         FALSE
         )*Bolig[[#This Row],[Beløb]]
      )
   ),
0)</f>
        <v>0</v>
      </c>
      <c r="I18" s="54"/>
      <c r="K18" s="58"/>
      <c r="L18" s="59"/>
      <c r="M18" s="60"/>
      <c r="N18" s="58"/>
      <c r="O18" s="59"/>
      <c r="P18" s="89">
        <f t="shared" si="0"/>
        <v>0</v>
      </c>
      <c r="Q18" s="66">
        <f>IF(SUM($K18:$O18)=0,$H18*K$5,$H18*K18)</f>
        <v>0</v>
      </c>
      <c r="R18" s="66">
        <f t="shared" si="12"/>
        <v>0</v>
      </c>
      <c r="S18" s="66">
        <f t="shared" si="13"/>
        <v>0</v>
      </c>
      <c r="T18" s="66">
        <f t="shared" si="14"/>
        <v>0</v>
      </c>
      <c r="U18" s="66">
        <f t="shared" si="15"/>
        <v>0</v>
      </c>
    </row>
    <row r="19" spans="2:21" ht="15">
      <c r="B19" s="79" t="s">
        <v>216</v>
      </c>
      <c r="C19" s="80"/>
      <c r="D19" s="81"/>
      <c r="E19" s="82"/>
      <c r="F19" s="83"/>
      <c r="G19" s="83"/>
      <c r="H19" s="83" t="str">
        <f>_xlfn.IFNA(
IF(
   Bolig[[#This Row],[Beregn med fordelingsnøgle]]="Nej",
   Bolig[[#This Row],[Beløb]],
   IF(
      Bolig[[#This Row],[Fordelingsnøgle]]="Ingen",
      Bolig[[#This Row],[Beløb]],
      VLOOKUP(
         Bolig[[#This Row],[Fordelingsnøgle]],
         Fordelingsnøgler!$C$8:$D$37,
         2,
         FALSE
         )*Bolig[[#This Row],[Beløb]]
      )
   ),
"")</f>
        <v/>
      </c>
      <c r="I19" s="84"/>
      <c r="K19" s="87"/>
      <c r="L19" s="88"/>
      <c r="M19" s="87"/>
      <c r="N19" s="88"/>
      <c r="O19" s="87"/>
      <c r="P19" s="89">
        <f t="shared" si="0"/>
        <v>0</v>
      </c>
      <c r="Q19" s="87"/>
      <c r="R19" s="88"/>
      <c r="S19" s="87"/>
      <c r="T19" s="88"/>
      <c r="U19" s="87"/>
    </row>
    <row r="20" spans="2:21" ht="15">
      <c r="B20" s="13"/>
      <c r="C20" s="14"/>
      <c r="D20" s="17"/>
      <c r="E20" s="15"/>
      <c r="F20" s="16"/>
      <c r="G20" s="16"/>
      <c r="H20" s="30">
        <f>_xlfn.IFNA(
IF(
   Bolig[[#This Row],[Beregn med fordelingsnøgle]]="Nej",
   Bolig[[#This Row],[Beløb]],
   IF(
      Bolig[[#This Row],[Fordelingsnøgle]]="Ingen",
      Bolig[[#This Row],[Beløb]],
      VLOOKUP(
         Bolig[[#This Row],[Fordelingsnøgle]],
         Fordelingsnøgler!$C$8:$D$37,
         2,
         FALSE
         )*Bolig[[#This Row],[Beløb]]
      )
   ),
0)</f>
        <v>0</v>
      </c>
      <c r="I20" s="54"/>
      <c r="K20" s="58"/>
      <c r="L20" s="59"/>
      <c r="M20" s="60"/>
      <c r="N20" s="58"/>
      <c r="O20" s="59"/>
      <c r="P20" s="89">
        <f t="shared" si="0"/>
        <v>0</v>
      </c>
      <c r="Q20" s="66">
        <f>IF(SUM($K20:$O20)=0,$H20*K$5,$H20*K20)</f>
        <v>0</v>
      </c>
      <c r="R20" s="66">
        <f t="shared" ref="R20:R22" si="17">IF(SUM($K20:$O20)=0,$H20*L$5,$H20*L20)</f>
        <v>0</v>
      </c>
      <c r="S20" s="66">
        <f t="shared" ref="S20:S22" si="18">IF(SUM($K20:$O20)=0,$H20*M$5,$H20*M20)</f>
        <v>0</v>
      </c>
      <c r="T20" s="66">
        <f t="shared" ref="T20:T22" si="19">IF(SUM($K20:$O20)=0,$H20*N$5,$H20*N20)</f>
        <v>0</v>
      </c>
      <c r="U20" s="66">
        <f t="shared" ref="U20:U22" si="20">IF(SUM($K20:$O20)=0,$H20*O$5,$H20*O20)</f>
        <v>0</v>
      </c>
    </row>
    <row r="21" spans="2:21" ht="15">
      <c r="B21" s="13"/>
      <c r="C21" s="14"/>
      <c r="D21" s="17"/>
      <c r="E21" s="15"/>
      <c r="F21" s="16"/>
      <c r="G21" s="16"/>
      <c r="H21" s="30">
        <f>_xlfn.IFNA(
IF(
   Bolig[[#This Row],[Beregn med fordelingsnøgle]]="Nej",
   Bolig[[#This Row],[Beløb]],
   IF(
      Bolig[[#This Row],[Fordelingsnøgle]]="Ingen",
      Bolig[[#This Row],[Beløb]],
      VLOOKUP(
         Bolig[[#This Row],[Fordelingsnøgle]],
         Fordelingsnøgler!$C$8:$D$37,
         2,
         FALSE
         )*Bolig[[#This Row],[Beløb]]
      )
   ),
0)</f>
        <v>0</v>
      </c>
      <c r="I21" s="54"/>
      <c r="K21" s="58"/>
      <c r="L21" s="59"/>
      <c r="M21" s="60"/>
      <c r="N21" s="58"/>
      <c r="O21" s="59"/>
      <c r="P21" s="89">
        <f t="shared" si="0"/>
        <v>0</v>
      </c>
      <c r="Q21" s="66">
        <f t="shared" ref="Q21" si="21">IF(SUM($K21:$O21)=0,$H21*K$5,$H21*K21)</f>
        <v>0</v>
      </c>
      <c r="R21" s="66">
        <f t="shared" si="17"/>
        <v>0</v>
      </c>
      <c r="S21" s="66">
        <f t="shared" si="18"/>
        <v>0</v>
      </c>
      <c r="T21" s="66">
        <f t="shared" si="19"/>
        <v>0</v>
      </c>
      <c r="U21" s="66">
        <f t="shared" si="20"/>
        <v>0</v>
      </c>
    </row>
    <row r="22" spans="2:21" ht="15">
      <c r="B22" s="13"/>
      <c r="C22" s="14"/>
      <c r="D22" s="17"/>
      <c r="E22" s="15"/>
      <c r="F22" s="16"/>
      <c r="G22" s="16"/>
      <c r="H22" s="30">
        <f>_xlfn.IFNA(
IF(
   Bolig[[#This Row],[Beregn med fordelingsnøgle]]="Nej",
   Bolig[[#This Row],[Beløb]],
   IF(
      Bolig[[#This Row],[Fordelingsnøgle]]="Ingen",
      Bolig[[#This Row],[Beløb]],
      VLOOKUP(
         Bolig[[#This Row],[Fordelingsnøgle]],
         Fordelingsnøgler!$C$8:$D$37,
         2,
         FALSE
         )*Bolig[[#This Row],[Beløb]]
      )
   ),
0)</f>
        <v>0</v>
      </c>
      <c r="I22" s="54"/>
      <c r="K22" s="58"/>
      <c r="L22" s="59"/>
      <c r="M22" s="60"/>
      <c r="N22" s="58"/>
      <c r="O22" s="59"/>
      <c r="P22" s="89">
        <f t="shared" si="0"/>
        <v>0</v>
      </c>
      <c r="Q22" s="66">
        <f>IF(SUM($K22:$O22)=0,$H22*K$5,$H22*K22)</f>
        <v>0</v>
      </c>
      <c r="R22" s="66">
        <f t="shared" si="17"/>
        <v>0</v>
      </c>
      <c r="S22" s="66">
        <f t="shared" si="18"/>
        <v>0</v>
      </c>
      <c r="T22" s="66">
        <f t="shared" si="19"/>
        <v>0</v>
      </c>
      <c r="U22" s="66">
        <f t="shared" si="20"/>
        <v>0</v>
      </c>
    </row>
    <row r="23" spans="2:21" ht="15.75" customHeight="1">
      <c r="B23" s="79" t="s">
        <v>217</v>
      </c>
      <c r="C23" s="80"/>
      <c r="D23" s="81"/>
      <c r="E23" s="82"/>
      <c r="F23" s="83"/>
      <c r="G23" s="83"/>
      <c r="H23" s="83" t="str">
        <f>_xlfn.IFNA(
IF(
   Bolig[[#This Row],[Beregn med fordelingsnøgle]]="Nej",
   Bolig[[#This Row],[Beløb]],
   IF(
      Bolig[[#This Row],[Fordelingsnøgle]]="Ingen",
      Bolig[[#This Row],[Beløb]],
      VLOOKUP(
         Bolig[[#This Row],[Fordelingsnøgle]],
         Fordelingsnøgler!$C$8:$D$37,
         2,
         FALSE
         )*Bolig[[#This Row],[Beløb]]
      )
   ),
"")</f>
        <v/>
      </c>
      <c r="I23" s="84"/>
      <c r="K23" s="87"/>
      <c r="L23" s="88"/>
      <c r="M23" s="87"/>
      <c r="N23" s="88"/>
      <c r="O23" s="87"/>
      <c r="P23" s="89">
        <f t="shared" si="0"/>
        <v>0</v>
      </c>
      <c r="Q23" s="87"/>
      <c r="R23" s="88"/>
      <c r="S23" s="87"/>
      <c r="T23" s="88"/>
      <c r="U23" s="87"/>
    </row>
    <row r="24" spans="2:21" ht="15">
      <c r="B24" s="13"/>
      <c r="C24" s="14"/>
      <c r="D24" s="17"/>
      <c r="E24" s="15"/>
      <c r="F24" s="16"/>
      <c r="G24" s="16"/>
      <c r="H24" s="30">
        <f>_xlfn.IFNA(
IF(
   Bolig[[#This Row],[Beregn med fordelingsnøgle]]="Nej",
   Bolig[[#This Row],[Beløb]],
   IF(
      Bolig[[#This Row],[Fordelingsnøgle]]="Ingen",
      Bolig[[#This Row],[Beløb]],
      VLOOKUP(
         Bolig[[#This Row],[Fordelingsnøgle]],
         Fordelingsnøgler!$C$8:$D$37,
         2,
         FALSE
         )*Bolig[[#This Row],[Beløb]]
      )
   ),
0)</f>
        <v>0</v>
      </c>
      <c r="I24" s="54"/>
      <c r="K24" s="58"/>
      <c r="L24" s="59"/>
      <c r="M24" s="60"/>
      <c r="N24" s="58"/>
      <c r="O24" s="59"/>
      <c r="P24" s="89">
        <f t="shared" si="0"/>
        <v>0</v>
      </c>
      <c r="Q24" s="66">
        <f>IF(SUM($K24:$O24)=0,$H24*K$5,$H24*K24)</f>
        <v>0</v>
      </c>
      <c r="R24" s="66">
        <f t="shared" ref="R24:R26" si="22">IF(SUM($K24:$O24)=0,$H24*L$5,$H24*L24)</f>
        <v>0</v>
      </c>
      <c r="S24" s="66">
        <f t="shared" ref="S24:S26" si="23">IF(SUM($K24:$O24)=0,$H24*M$5,$H24*M24)</f>
        <v>0</v>
      </c>
      <c r="T24" s="66">
        <f t="shared" ref="T24:T26" si="24">IF(SUM($K24:$O24)=0,$H24*N$5,$H24*N24)</f>
        <v>0</v>
      </c>
      <c r="U24" s="66">
        <f t="shared" ref="U24:U26" si="25">IF(SUM($K24:$O24)=0,$H24*O$5,$H24*O24)</f>
        <v>0</v>
      </c>
    </row>
    <row r="25" spans="2:21" ht="15">
      <c r="B25" s="13"/>
      <c r="C25" s="14"/>
      <c r="D25" s="17"/>
      <c r="E25" s="15"/>
      <c r="F25" s="16" t="s">
        <v>2</v>
      </c>
      <c r="G25" s="16"/>
      <c r="H25" s="30">
        <f>_xlfn.IFNA(
IF(
   Bolig[[#This Row],[Beregn med fordelingsnøgle]]="Nej",
   Bolig[[#This Row],[Beløb]],
   IF(
      Bolig[[#This Row],[Fordelingsnøgle]]="Ingen",
      Bolig[[#This Row],[Beløb]],
      VLOOKUP(
         Bolig[[#This Row],[Fordelingsnøgle]],
         Fordelingsnøgler!$C$8:$D$37,
         2,
         FALSE
         )*Bolig[[#This Row],[Beløb]]
      )
   ),
0)</f>
        <v>0</v>
      </c>
      <c r="I25" s="54"/>
      <c r="K25" s="58"/>
      <c r="L25" s="59"/>
      <c r="M25" s="60"/>
      <c r="N25" s="58"/>
      <c r="O25" s="59"/>
      <c r="P25" s="89">
        <f t="shared" si="0"/>
        <v>0</v>
      </c>
      <c r="Q25" s="66">
        <f t="shared" ref="Q25" si="26">IF(SUM($K25:$O25)=0,$H25*K$5,$H25*K25)</f>
        <v>0</v>
      </c>
      <c r="R25" s="66">
        <f t="shared" si="22"/>
        <v>0</v>
      </c>
      <c r="S25" s="66">
        <f t="shared" si="23"/>
        <v>0</v>
      </c>
      <c r="T25" s="66">
        <f t="shared" si="24"/>
        <v>0</v>
      </c>
      <c r="U25" s="66">
        <f t="shared" si="25"/>
        <v>0</v>
      </c>
    </row>
    <row r="26" spans="2:21" ht="15">
      <c r="B26" s="13"/>
      <c r="C26" s="14"/>
      <c r="D26" s="17"/>
      <c r="E26" s="15"/>
      <c r="F26" s="16"/>
      <c r="G26" s="16"/>
      <c r="H26" s="30">
        <f>_xlfn.IFNA(
IF(
   Bolig[[#This Row],[Beregn med fordelingsnøgle]]="Nej",
   Bolig[[#This Row],[Beløb]],
   IF(
      Bolig[[#This Row],[Fordelingsnøgle]]="Ingen",
      Bolig[[#This Row],[Beløb]],
      VLOOKUP(
         Bolig[[#This Row],[Fordelingsnøgle]],
         Fordelingsnøgler!$C$8:$D$37,
         2,
         FALSE
         )*Bolig[[#This Row],[Beløb]]
      )
   ),
0)</f>
        <v>0</v>
      </c>
      <c r="I26" s="54"/>
      <c r="K26" s="58"/>
      <c r="L26" s="59"/>
      <c r="M26" s="60"/>
      <c r="N26" s="58"/>
      <c r="O26" s="59"/>
      <c r="P26" s="89">
        <f t="shared" si="0"/>
        <v>0</v>
      </c>
      <c r="Q26" s="66">
        <f>IF(SUM($K26:$O26)=0,$H26*K$5,$H26*K26)</f>
        <v>0</v>
      </c>
      <c r="R26" s="66">
        <f t="shared" si="22"/>
        <v>0</v>
      </c>
      <c r="S26" s="66">
        <f t="shared" si="23"/>
        <v>0</v>
      </c>
      <c r="T26" s="66">
        <f t="shared" si="24"/>
        <v>0</v>
      </c>
      <c r="U26" s="66">
        <f t="shared" si="25"/>
        <v>0</v>
      </c>
    </row>
    <row r="27" spans="2:21" ht="15">
      <c r="B27" s="79" t="s">
        <v>218</v>
      </c>
      <c r="C27" s="80"/>
      <c r="D27" s="81"/>
      <c r="E27" s="82"/>
      <c r="F27" s="83"/>
      <c r="G27" s="83"/>
      <c r="H27" s="83" t="str">
        <f>_xlfn.IFNA(
IF(
   Bolig[[#This Row],[Beregn med fordelingsnøgle]]="Nej",
   Bolig[[#This Row],[Beløb]],
   IF(
      Bolig[[#This Row],[Fordelingsnøgle]]="Ingen",
      Bolig[[#This Row],[Beløb]],
      VLOOKUP(
         Bolig[[#This Row],[Fordelingsnøgle]],
         Fordelingsnøgler!$C$8:$D$37,
         2,
         FALSE
         )*Bolig[[#This Row],[Beløb]]
      )
   ),
"")</f>
        <v/>
      </c>
      <c r="I27" s="84"/>
      <c r="K27" s="87"/>
      <c r="L27" s="88"/>
      <c r="M27" s="87"/>
      <c r="N27" s="88"/>
      <c r="O27" s="87"/>
      <c r="P27" s="89">
        <f t="shared" si="0"/>
        <v>0</v>
      </c>
      <c r="Q27" s="87"/>
      <c r="R27" s="88"/>
      <c r="S27" s="87"/>
      <c r="T27" s="88"/>
      <c r="U27" s="87"/>
    </row>
    <row r="28" spans="2:21" ht="15">
      <c r="B28" s="13"/>
      <c r="C28" s="14"/>
      <c r="D28" s="17"/>
      <c r="E28" s="15"/>
      <c r="F28" s="16" t="s">
        <v>2</v>
      </c>
      <c r="G28" s="16"/>
      <c r="H28" s="30">
        <f>_xlfn.IFNA(
IF(
   Bolig[[#This Row],[Beregn med fordelingsnøgle]]="Nej",
   Bolig[[#This Row],[Beløb]],
   IF(
      Bolig[[#This Row],[Fordelingsnøgle]]="Ingen",
      Bolig[[#This Row],[Beløb]],
      VLOOKUP(
         Bolig[[#This Row],[Fordelingsnøgle]],
         Fordelingsnøgler!$C$8:$D$37,
         2,
         FALSE
         )*Bolig[[#This Row],[Beløb]]
      )
   ),
0)</f>
        <v>0</v>
      </c>
      <c r="I28" s="54"/>
      <c r="K28" s="58"/>
      <c r="L28" s="59"/>
      <c r="M28" s="60"/>
      <c r="N28" s="58"/>
      <c r="O28" s="59"/>
      <c r="P28" s="89">
        <f t="shared" si="0"/>
        <v>0</v>
      </c>
      <c r="Q28" s="66">
        <f>IF(SUM($K28:$O28)=0,$H28*K$5,$H28*K28)</f>
        <v>0</v>
      </c>
      <c r="R28" s="66">
        <f t="shared" ref="R28:R30" si="27">IF(SUM($K28:$O28)=0,$H28*L$5,$H28*L28)</f>
        <v>0</v>
      </c>
      <c r="S28" s="66">
        <f t="shared" ref="S28:S30" si="28">IF(SUM($K28:$O28)=0,$H28*M$5,$H28*M28)</f>
        <v>0</v>
      </c>
      <c r="T28" s="66">
        <f t="shared" ref="T28:T30" si="29">IF(SUM($K28:$O28)=0,$H28*N$5,$H28*N28)</f>
        <v>0</v>
      </c>
      <c r="U28" s="66">
        <f t="shared" ref="U28:U30" si="30">IF(SUM($K28:$O28)=0,$H28*O$5,$H28*O28)</f>
        <v>0</v>
      </c>
    </row>
    <row r="29" spans="2:21" ht="15">
      <c r="B29" s="13"/>
      <c r="C29" s="14"/>
      <c r="D29" s="17"/>
      <c r="E29" s="15"/>
      <c r="F29" s="16"/>
      <c r="G29" s="16"/>
      <c r="H29" s="30">
        <f>_xlfn.IFNA(
IF(
   Bolig[[#This Row],[Beregn med fordelingsnøgle]]="Nej",
   Bolig[[#This Row],[Beløb]],
   IF(
      Bolig[[#This Row],[Fordelingsnøgle]]="Ingen",
      Bolig[[#This Row],[Beløb]],
      VLOOKUP(
         Bolig[[#This Row],[Fordelingsnøgle]],
         Fordelingsnøgler!$C$8:$D$37,
         2,
         FALSE
         )*Bolig[[#This Row],[Beløb]]
      )
   ),
0)</f>
        <v>0</v>
      </c>
      <c r="I29" s="54"/>
      <c r="K29" s="58"/>
      <c r="L29" s="59"/>
      <c r="M29" s="60"/>
      <c r="N29" s="58"/>
      <c r="O29" s="59"/>
      <c r="P29" s="89">
        <f t="shared" si="0"/>
        <v>0</v>
      </c>
      <c r="Q29" s="66">
        <f t="shared" ref="Q29" si="31">IF(SUM($K29:$O29)=0,$H29*K$5,$H29*K29)</f>
        <v>0</v>
      </c>
      <c r="R29" s="66">
        <f t="shared" si="27"/>
        <v>0</v>
      </c>
      <c r="S29" s="66">
        <f t="shared" si="28"/>
        <v>0</v>
      </c>
      <c r="T29" s="66">
        <f t="shared" si="29"/>
        <v>0</v>
      </c>
      <c r="U29" s="66">
        <f t="shared" si="30"/>
        <v>0</v>
      </c>
    </row>
    <row r="30" spans="2:21" ht="15">
      <c r="B30" s="13"/>
      <c r="C30" s="14"/>
      <c r="D30" s="17"/>
      <c r="E30" s="15"/>
      <c r="F30" s="16"/>
      <c r="G30" s="16"/>
      <c r="H30" s="30">
        <f>_xlfn.IFNA(
IF(
   Bolig[[#This Row],[Beregn med fordelingsnøgle]]="Nej",
   Bolig[[#This Row],[Beløb]],
   IF(
      Bolig[[#This Row],[Fordelingsnøgle]]="Ingen",
      Bolig[[#This Row],[Beløb]],
      VLOOKUP(
         Bolig[[#This Row],[Fordelingsnøgle]],
         Fordelingsnøgler!$C$8:$D$37,
         2,
         FALSE
         )*Bolig[[#This Row],[Beløb]]
      )
   ),
0)</f>
        <v>0</v>
      </c>
      <c r="I30" s="54"/>
      <c r="K30" s="58"/>
      <c r="L30" s="59"/>
      <c r="M30" s="60"/>
      <c r="N30" s="58"/>
      <c r="O30" s="59"/>
      <c r="P30" s="89">
        <f t="shared" si="0"/>
        <v>0</v>
      </c>
      <c r="Q30" s="66">
        <f>IF(SUM($K30:$O30)=0,$H30*K$5,$H30*K30)</f>
        <v>0</v>
      </c>
      <c r="R30" s="66">
        <f t="shared" si="27"/>
        <v>0</v>
      </c>
      <c r="S30" s="66">
        <f t="shared" si="28"/>
        <v>0</v>
      </c>
      <c r="T30" s="66">
        <f t="shared" si="29"/>
        <v>0</v>
      </c>
      <c r="U30" s="66">
        <f t="shared" si="30"/>
        <v>0</v>
      </c>
    </row>
    <row r="31" spans="2:21" ht="15">
      <c r="B31" s="79" t="s">
        <v>219</v>
      </c>
      <c r="C31" s="80"/>
      <c r="D31" s="81"/>
      <c r="E31" s="82"/>
      <c r="F31" s="83"/>
      <c r="G31" s="83"/>
      <c r="H31" s="83" t="str">
        <f>_xlfn.IFNA(
IF(
   Bolig[[#This Row],[Beregn med fordelingsnøgle]]="Nej",
   Bolig[[#This Row],[Beløb]],
   IF(
      Bolig[[#This Row],[Fordelingsnøgle]]="Ingen",
      Bolig[[#This Row],[Beløb]],
      VLOOKUP(
         Bolig[[#This Row],[Fordelingsnøgle]],
         Fordelingsnøgler!$C$8:$D$37,
         2,
         FALSE
         )*Bolig[[#This Row],[Beløb]]
      )
   ),
"")</f>
        <v/>
      </c>
      <c r="I31" s="84"/>
      <c r="K31" s="87"/>
      <c r="L31" s="88"/>
      <c r="M31" s="87"/>
      <c r="N31" s="88"/>
      <c r="O31" s="87"/>
      <c r="P31" s="89">
        <f t="shared" si="0"/>
        <v>0</v>
      </c>
      <c r="Q31" s="87"/>
      <c r="R31" s="88"/>
      <c r="S31" s="87"/>
      <c r="T31" s="88"/>
      <c r="U31" s="87"/>
    </row>
    <row r="32" spans="2:21" ht="15">
      <c r="B32" s="13"/>
      <c r="C32" s="14"/>
      <c r="D32" s="17"/>
      <c r="E32" s="15"/>
      <c r="F32" s="16"/>
      <c r="G32" s="16"/>
      <c r="H32" s="30">
        <f>_xlfn.IFNA(
IF(
   Bolig[[#This Row],[Beregn med fordelingsnøgle]]="Nej",
   Bolig[[#This Row],[Beløb]],
   IF(
      Bolig[[#This Row],[Fordelingsnøgle]]="Ingen",
      Bolig[[#This Row],[Beløb]],
      VLOOKUP(
         Bolig[[#This Row],[Fordelingsnøgle]],
         Fordelingsnøgler!$C$8:$D$37,
         2,
         FALSE
         )*Bolig[[#This Row],[Beløb]]
      )
   ),
0)</f>
        <v>0</v>
      </c>
      <c r="I32" s="54"/>
      <c r="K32" s="58"/>
      <c r="L32" s="59"/>
      <c r="M32" s="60"/>
      <c r="N32" s="58"/>
      <c r="O32" s="59"/>
      <c r="P32" s="89">
        <f t="shared" si="0"/>
        <v>0</v>
      </c>
      <c r="Q32" s="66">
        <f>IF(SUM($K32:$O32)=0,$H32*K$5,$H32*K32)</f>
        <v>0</v>
      </c>
      <c r="R32" s="66">
        <f t="shared" ref="R32:R34" si="32">IF(SUM($K32:$O32)=0,$H32*L$5,$H32*L32)</f>
        <v>0</v>
      </c>
      <c r="S32" s="66">
        <f t="shared" ref="S32:S34" si="33">IF(SUM($K32:$O32)=0,$H32*M$5,$H32*M32)</f>
        <v>0</v>
      </c>
      <c r="T32" s="66">
        <f t="shared" ref="T32:T34" si="34">IF(SUM($K32:$O32)=0,$H32*N$5,$H32*N32)</f>
        <v>0</v>
      </c>
      <c r="U32" s="66">
        <f t="shared" ref="U32:U34" si="35">IF(SUM($K32:$O32)=0,$H32*O$5,$H32*O32)</f>
        <v>0</v>
      </c>
    </row>
    <row r="33" spans="2:21" ht="15">
      <c r="B33" s="13"/>
      <c r="C33" s="14"/>
      <c r="D33" s="17"/>
      <c r="E33" s="15"/>
      <c r="F33" s="16"/>
      <c r="G33" s="16"/>
      <c r="H33" s="30">
        <f>_xlfn.IFNA(
IF(
   Bolig[[#This Row],[Beregn med fordelingsnøgle]]="Nej",
   Bolig[[#This Row],[Beløb]],
   IF(
      Bolig[[#This Row],[Fordelingsnøgle]]="Ingen",
      Bolig[[#This Row],[Beløb]],
      VLOOKUP(
         Bolig[[#This Row],[Fordelingsnøgle]],
         Fordelingsnøgler!$C$8:$D$37,
         2,
         FALSE
         )*Bolig[[#This Row],[Beløb]]
      )
   ),
0)</f>
        <v>0</v>
      </c>
      <c r="I33" s="54"/>
      <c r="K33" s="58"/>
      <c r="L33" s="59"/>
      <c r="M33" s="60"/>
      <c r="N33" s="58"/>
      <c r="O33" s="59"/>
      <c r="P33" s="89">
        <f t="shared" si="0"/>
        <v>0</v>
      </c>
      <c r="Q33" s="66">
        <f t="shared" ref="Q33" si="36">IF(SUM($K33:$O33)=0,$H33*K$5,$H33*K33)</f>
        <v>0</v>
      </c>
      <c r="R33" s="66">
        <f t="shared" si="32"/>
        <v>0</v>
      </c>
      <c r="S33" s="66">
        <f t="shared" si="33"/>
        <v>0</v>
      </c>
      <c r="T33" s="66">
        <f t="shared" si="34"/>
        <v>0</v>
      </c>
      <c r="U33" s="66">
        <f t="shared" si="35"/>
        <v>0</v>
      </c>
    </row>
    <row r="34" spans="2:21" ht="15">
      <c r="B34" s="13"/>
      <c r="C34" s="14"/>
      <c r="D34" s="17"/>
      <c r="E34" s="15"/>
      <c r="F34" s="16"/>
      <c r="G34" s="16"/>
      <c r="H34" s="30">
        <f>_xlfn.IFNA(
IF(
   Bolig[[#This Row],[Beregn med fordelingsnøgle]]="Nej",
   Bolig[[#This Row],[Beløb]],
   IF(
      Bolig[[#This Row],[Fordelingsnøgle]]="Ingen",
      Bolig[[#This Row],[Beløb]],
      VLOOKUP(
         Bolig[[#This Row],[Fordelingsnøgle]],
         Fordelingsnøgler!$C$8:$D$37,
         2,
         FALSE
         )*Bolig[[#This Row],[Beløb]]
      )
   ),
0)</f>
        <v>0</v>
      </c>
      <c r="I34" s="54"/>
      <c r="K34" s="58"/>
      <c r="L34" s="59"/>
      <c r="M34" s="60"/>
      <c r="N34" s="58"/>
      <c r="O34" s="59"/>
      <c r="P34" s="89">
        <f t="shared" si="0"/>
        <v>0</v>
      </c>
      <c r="Q34" s="66">
        <f>IF(SUM($K34:$O34)=0,$H34*K$5,$H34*K34)</f>
        <v>0</v>
      </c>
      <c r="R34" s="66">
        <f t="shared" si="32"/>
        <v>0</v>
      </c>
      <c r="S34" s="66">
        <f t="shared" si="33"/>
        <v>0</v>
      </c>
      <c r="T34" s="66">
        <f t="shared" si="34"/>
        <v>0</v>
      </c>
      <c r="U34" s="66">
        <f t="shared" si="35"/>
        <v>0</v>
      </c>
    </row>
    <row r="35" spans="2:21" ht="17.25" customHeight="1">
      <c r="B35" s="79" t="s">
        <v>220</v>
      </c>
      <c r="C35" s="80"/>
      <c r="D35" s="81"/>
      <c r="E35" s="82"/>
      <c r="F35" s="83"/>
      <c r="G35" s="83"/>
      <c r="H35" s="83" t="str">
        <f>_xlfn.IFNA(
IF(
   Bolig[[#This Row],[Beregn med fordelingsnøgle]]="Nej",
   Bolig[[#This Row],[Beløb]],
   IF(
      Bolig[[#This Row],[Fordelingsnøgle]]="Ingen",
      Bolig[[#This Row],[Beløb]],
      VLOOKUP(
         Bolig[[#This Row],[Fordelingsnøgle]],
         Fordelingsnøgler!$C$8:$D$37,
         2,
         FALSE
         )*Bolig[[#This Row],[Beløb]]
      )
   ),
"")</f>
        <v/>
      </c>
      <c r="I35" s="84"/>
      <c r="K35" s="87"/>
      <c r="L35" s="88"/>
      <c r="M35" s="87"/>
      <c r="N35" s="88"/>
      <c r="O35" s="87"/>
      <c r="P35" s="89">
        <f t="shared" si="0"/>
        <v>0</v>
      </c>
      <c r="Q35" s="87"/>
      <c r="R35" s="88"/>
      <c r="S35" s="87"/>
      <c r="T35" s="88"/>
      <c r="U35" s="87"/>
    </row>
    <row r="36" spans="2:21" ht="17.25" customHeight="1">
      <c r="B36" s="13"/>
      <c r="C36" s="14"/>
      <c r="D36" s="17"/>
      <c r="E36" s="15"/>
      <c r="F36" s="16"/>
      <c r="G36" s="16"/>
      <c r="H36" s="30">
        <f>_xlfn.IFNA(
IF(
   Bolig[[#This Row],[Beregn med fordelingsnøgle]]="Nej",
   Bolig[[#This Row],[Beløb]],
   IF(
      Bolig[[#This Row],[Fordelingsnøgle]]="Ingen",
      Bolig[[#This Row],[Beløb]],
      VLOOKUP(
         Bolig[[#This Row],[Fordelingsnøgle]],
         Fordelingsnøgler!$C$8:$D$37,
         2,
         FALSE
         )*Bolig[[#This Row],[Beløb]]
      )
   ),
0)</f>
        <v>0</v>
      </c>
      <c r="I36" s="54"/>
      <c r="K36" s="58"/>
      <c r="L36" s="59"/>
      <c r="M36" s="60"/>
      <c r="N36" s="58"/>
      <c r="O36" s="59"/>
      <c r="P36" s="89">
        <f t="shared" si="0"/>
        <v>0</v>
      </c>
      <c r="Q36" s="66">
        <f>IF(SUM($K36:$O36)=0,$H36*K$5,$H36*K36)</f>
        <v>0</v>
      </c>
      <c r="R36" s="66">
        <f t="shared" ref="R36:R38" si="37">IF(SUM($K36:$O36)=0,$H36*L$5,$H36*L36)</f>
        <v>0</v>
      </c>
      <c r="S36" s="66">
        <f t="shared" ref="S36:S38" si="38">IF(SUM($K36:$O36)=0,$H36*M$5,$H36*M36)</f>
        <v>0</v>
      </c>
      <c r="T36" s="66">
        <f t="shared" ref="T36:T38" si="39">IF(SUM($K36:$O36)=0,$H36*N$5,$H36*N36)</f>
        <v>0</v>
      </c>
      <c r="U36" s="66">
        <f t="shared" ref="U36:U38" si="40">IF(SUM($K36:$O36)=0,$H36*O$5,$H36*O36)</f>
        <v>0</v>
      </c>
    </row>
    <row r="37" spans="2:21" ht="17.25" customHeight="1">
      <c r="B37" s="13"/>
      <c r="C37" s="14"/>
      <c r="D37" s="17"/>
      <c r="E37" s="15"/>
      <c r="F37" s="16"/>
      <c r="G37" s="16"/>
      <c r="H37" s="30">
        <f>_xlfn.IFNA(
IF(
   Bolig[[#This Row],[Beregn med fordelingsnøgle]]="Nej",
   Bolig[[#This Row],[Beløb]],
   IF(
      Bolig[[#This Row],[Fordelingsnøgle]]="Ingen",
      Bolig[[#This Row],[Beløb]],
      VLOOKUP(
         Bolig[[#This Row],[Fordelingsnøgle]],
         Fordelingsnøgler!$C$8:$D$37,
         2,
         FALSE
         )*Bolig[[#This Row],[Beløb]]
      )
   ),
0)</f>
        <v>0</v>
      </c>
      <c r="I37" s="54"/>
      <c r="K37" s="58"/>
      <c r="L37" s="59"/>
      <c r="M37" s="60"/>
      <c r="N37" s="58"/>
      <c r="O37" s="59"/>
      <c r="P37" s="89">
        <f t="shared" si="0"/>
        <v>0</v>
      </c>
      <c r="Q37" s="66">
        <f t="shared" ref="Q37" si="41">IF(SUM($K37:$O37)=0,$H37*K$5,$H37*K37)</f>
        <v>0</v>
      </c>
      <c r="R37" s="66">
        <f t="shared" si="37"/>
        <v>0</v>
      </c>
      <c r="S37" s="66">
        <f t="shared" si="38"/>
        <v>0</v>
      </c>
      <c r="T37" s="66">
        <f t="shared" si="39"/>
        <v>0</v>
      </c>
      <c r="U37" s="66">
        <f t="shared" si="40"/>
        <v>0</v>
      </c>
    </row>
    <row r="38" spans="2:21" ht="17.25" customHeight="1">
      <c r="B38" s="13"/>
      <c r="C38" s="14"/>
      <c r="D38" s="17"/>
      <c r="E38" s="15"/>
      <c r="F38" s="16"/>
      <c r="G38" s="16"/>
      <c r="H38" s="30">
        <f>_xlfn.IFNA(
IF(
   Bolig[[#This Row],[Beregn med fordelingsnøgle]]="Nej",
   Bolig[[#This Row],[Beløb]],
   IF(
      Bolig[[#This Row],[Fordelingsnøgle]]="Ingen",
      Bolig[[#This Row],[Beløb]],
      VLOOKUP(
         Bolig[[#This Row],[Fordelingsnøgle]],
         Fordelingsnøgler!$C$8:$D$37,
         2,
         FALSE
         )*Bolig[[#This Row],[Beløb]]
      )
   ),
0)</f>
        <v>0</v>
      </c>
      <c r="I38" s="54"/>
      <c r="K38" s="58"/>
      <c r="L38" s="59"/>
      <c r="M38" s="60"/>
      <c r="N38" s="58"/>
      <c r="O38" s="59"/>
      <c r="P38" s="89">
        <f t="shared" si="0"/>
        <v>0</v>
      </c>
      <c r="Q38" s="66">
        <f>IF(SUM($K38:$O38)=0,$H38*K$5,$H38*K38)</f>
        <v>0</v>
      </c>
      <c r="R38" s="66">
        <f t="shared" si="37"/>
        <v>0</v>
      </c>
      <c r="S38" s="66">
        <f t="shared" si="38"/>
        <v>0</v>
      </c>
      <c r="T38" s="66">
        <f t="shared" si="39"/>
        <v>0</v>
      </c>
      <c r="U38" s="66">
        <f t="shared" si="40"/>
        <v>0</v>
      </c>
    </row>
    <row r="39" spans="2:21" ht="17.25" customHeight="1">
      <c r="B39" s="79" t="s">
        <v>221</v>
      </c>
      <c r="C39" s="80"/>
      <c r="D39" s="81"/>
      <c r="E39" s="85"/>
      <c r="F39" s="83"/>
      <c r="G39" s="83"/>
      <c r="H39" s="86">
        <f>_xlfn.IFNA(
IF(
   Bolig[[#This Row],[Beregn med fordelingsnøgle]]="Nej",
   Bolig[[#This Row],[Beløb]],
   IF(
      Bolig[[#This Row],[Fordelingsnøgle]]="Ingen",
      Bolig[[#This Row],[Beløb]],
      VLOOKUP(
         Bolig[[#This Row],[Fordelingsnøgle]],
         Fordelingsnøgler!$C$8:$D$37,
         2,
         FALSE
         )*Bolig[[#This Row],[Beløb]]
      )
   ),
0)</f>
        <v>0</v>
      </c>
      <c r="I39" s="84"/>
      <c r="K39" s="87"/>
      <c r="L39" s="88"/>
      <c r="M39" s="87"/>
      <c r="N39" s="88"/>
      <c r="O39" s="87"/>
      <c r="P39" s="89">
        <f t="shared" si="0"/>
        <v>0</v>
      </c>
      <c r="Q39" s="87"/>
      <c r="R39" s="88"/>
      <c r="S39" s="87"/>
      <c r="T39" s="88"/>
      <c r="U39" s="87"/>
    </row>
    <row r="40" spans="2:21" ht="17.25" customHeight="1">
      <c r="B40" s="13"/>
      <c r="C40" s="14"/>
      <c r="D40" s="17"/>
      <c r="E40" s="70"/>
      <c r="F40" s="16"/>
      <c r="G40" s="16"/>
      <c r="H40" s="30">
        <f>_xlfn.IFNA(
IF(
   Bolig[[#This Row],[Beregn med fordelingsnøgle]]="Nej",
   Bolig[[#This Row],[Beløb]],
   IF(
      Bolig[[#This Row],[Fordelingsnøgle]]="Ingen",
      Bolig[[#This Row],[Beløb]],
      VLOOKUP(
         Bolig[[#This Row],[Fordelingsnøgle]],
         Fordelingsnøgler!$C$8:$D$37,
         2,
         FALSE
         )*Bolig[[#This Row],[Beløb]]
      )
   ),
0)</f>
        <v>0</v>
      </c>
      <c r="I40" s="54"/>
      <c r="K40" s="58"/>
      <c r="L40" s="59"/>
      <c r="M40" s="60"/>
      <c r="N40" s="58"/>
      <c r="O40" s="59"/>
      <c r="P40" s="89">
        <f t="shared" si="0"/>
        <v>0</v>
      </c>
      <c r="Q40" s="66">
        <f>IF(SUM($K40:$O40)=0,$H40*K$5,$H40*K40)</f>
        <v>0</v>
      </c>
      <c r="R40" s="66">
        <f t="shared" ref="R40:R42" si="42">IF(SUM($K40:$O40)=0,$H40*L$5,$H40*L40)</f>
        <v>0</v>
      </c>
      <c r="S40" s="66">
        <f t="shared" ref="S40:S42" si="43">IF(SUM($K40:$O40)=0,$H40*M$5,$H40*M40)</f>
        <v>0</v>
      </c>
      <c r="T40" s="66">
        <f t="shared" ref="T40:T42" si="44">IF(SUM($K40:$O40)=0,$H40*N$5,$H40*N40)</f>
        <v>0</v>
      </c>
      <c r="U40" s="66">
        <f t="shared" ref="U40:U42" si="45">IF(SUM($K40:$O40)=0,$H40*O$5,$H40*O40)</f>
        <v>0</v>
      </c>
    </row>
    <row r="41" spans="2:21" ht="17.25" customHeight="1">
      <c r="B41" s="13"/>
      <c r="C41" s="14"/>
      <c r="D41" s="17"/>
      <c r="E41" s="70"/>
      <c r="F41" s="16"/>
      <c r="G41" s="16"/>
      <c r="H41" s="30">
        <f>_xlfn.IFNA(
IF(
   Bolig[[#This Row],[Beregn med fordelingsnøgle]]="Nej",
   Bolig[[#This Row],[Beløb]],
   IF(
      Bolig[[#This Row],[Fordelingsnøgle]]="Ingen",
      Bolig[[#This Row],[Beløb]],
      VLOOKUP(
         Bolig[[#This Row],[Fordelingsnøgle]],
         Fordelingsnøgler!$C$8:$D$37,
         2,
         FALSE
         )*Bolig[[#This Row],[Beløb]]
      )
   ),
0)</f>
        <v>0</v>
      </c>
      <c r="I41" s="54"/>
      <c r="K41" s="58"/>
      <c r="L41" s="59"/>
      <c r="M41" s="60"/>
      <c r="N41" s="58"/>
      <c r="O41" s="59"/>
      <c r="P41" s="89">
        <f t="shared" si="0"/>
        <v>0</v>
      </c>
      <c r="Q41" s="66">
        <f t="shared" ref="Q41" si="46">IF(SUM($K41:$O41)=0,$H41*K$5,$H41*K41)</f>
        <v>0</v>
      </c>
      <c r="R41" s="66">
        <f t="shared" si="42"/>
        <v>0</v>
      </c>
      <c r="S41" s="66">
        <f t="shared" si="43"/>
        <v>0</v>
      </c>
      <c r="T41" s="66">
        <f t="shared" si="44"/>
        <v>0</v>
      </c>
      <c r="U41" s="66">
        <f t="shared" si="45"/>
        <v>0</v>
      </c>
    </row>
    <row r="42" spans="2:21" ht="17.25" customHeight="1">
      <c r="B42" s="13"/>
      <c r="C42" s="14"/>
      <c r="D42" s="17"/>
      <c r="E42" s="70"/>
      <c r="F42" s="16"/>
      <c r="G42" s="16"/>
      <c r="H42" s="104">
        <f>_xlfn.IFNA(
IF(
   Bolig[[#This Row],[Beregn med fordelingsnøgle]]="Nej",
   Bolig[[#This Row],[Beløb]],
   IF(
      Bolig[[#This Row],[Fordelingsnøgle]]="Ingen",
      Bolig[[#This Row],[Beløb]],
      VLOOKUP(
         Bolig[[#This Row],[Fordelingsnøgle]],
         Fordelingsnøgler!$C$8:$D$37,
         2,
         FALSE
         )*Bolig[[#This Row],[Beløb]]
      )
   ),
0)</f>
        <v>0</v>
      </c>
      <c r="I42" s="54"/>
      <c r="K42" s="58"/>
      <c r="L42" s="59"/>
      <c r="M42" s="60"/>
      <c r="N42" s="58"/>
      <c r="O42" s="59"/>
      <c r="P42" s="89">
        <f t="shared" si="0"/>
        <v>0</v>
      </c>
      <c r="Q42" s="105">
        <f>IF(SUM($K42:$O42)=0,$H42*K$5,$H42*K42)</f>
        <v>0</v>
      </c>
      <c r="R42" s="105">
        <f t="shared" si="42"/>
        <v>0</v>
      </c>
      <c r="S42" s="105">
        <f t="shared" si="43"/>
        <v>0</v>
      </c>
      <c r="T42" s="105">
        <f t="shared" si="44"/>
        <v>0</v>
      </c>
      <c r="U42" s="105">
        <f t="shared" si="45"/>
        <v>0</v>
      </c>
    </row>
    <row r="43" spans="2:21" ht="20.100000000000001" customHeight="1">
      <c r="H43"/>
    </row>
    <row r="44" spans="2:21" ht="20.100000000000001" customHeight="1">
      <c r="G44"/>
      <c r="H44"/>
    </row>
  </sheetData>
  <mergeCells count="15">
    <mergeCell ref="Q5:U6"/>
    <mergeCell ref="P3:P4"/>
    <mergeCell ref="K3:K4"/>
    <mergeCell ref="L3:M3"/>
    <mergeCell ref="N3:N4"/>
    <mergeCell ref="O3:O4"/>
    <mergeCell ref="L5:L6"/>
    <mergeCell ref="M5:M6"/>
    <mergeCell ref="K5:K6"/>
    <mergeCell ref="N5:N6"/>
    <mergeCell ref="O5:O6"/>
    <mergeCell ref="Q3:Q4"/>
    <mergeCell ref="R3:S3"/>
    <mergeCell ref="T3:T4"/>
    <mergeCell ref="U3:U4"/>
  </mergeCells>
  <phoneticPr fontId="3" type="noConversion"/>
  <conditionalFormatting sqref="P5:P42">
    <cfRule type="cellIs" dxfId="3" priority="5" operator="greaterThan">
      <formula>1</formula>
    </cfRule>
    <cfRule type="cellIs" dxfId="2" priority="6" operator="greaterThan">
      <formula>0</formula>
    </cfRule>
    <cfRule type="cellIs" dxfId="1" priority="7" operator="greaterThan">
      <formula>0</formula>
    </cfRule>
    <cfRule type="colorScale" priority="8">
      <colorScale>
        <cfvo type="min"/>
        <cfvo type="percentile" val="50"/>
        <cfvo type="max"/>
        <color rgb="FFF8696B"/>
        <color rgb="FFFCFCFF"/>
        <color rgb="FF63BE7B"/>
      </colorScale>
    </cfRule>
  </conditionalFormatting>
  <dataValidations xWindow="196" yWindow="358" count="4">
    <dataValidation allowBlank="1" showErrorMessage="1" sqref="H6:I10 E6:G6 B6:D10 B2:B5 H11:H42 E2:E3" xr:uid="{00000000-0002-0000-0000-000005000000}"/>
    <dataValidation type="list" allowBlank="1" showInputMessage="1" showErrorMessage="1" sqref="C3" xr:uid="{EE609B5D-2BEB-4A12-BE92-80DB65B04AF3}">
      <formula1>"Regnskab, Budget"</formula1>
    </dataValidation>
    <dataValidation allowBlank="1" showInputMessage="1" showErrorMessage="1" promptTitle="Samlede fordelinger" prompt="De samlede fordelingsprocenter i disse 4 celler, benyttes i beregningerne i tabellen til højre. Ønsker man en fordeling som afviger fra de generelle fordelinger, så skal disse andele indsættes for den enkelt omkostning i rækkerne forneden." sqref="K5:O6" xr:uid="{D9F3C01E-7C69-4A40-8766-596A5E7C136B}"/>
    <dataValidation type="list" allowBlank="1" showErrorMessage="1" sqref="G7:G42" xr:uid="{65858989-ED5B-43D8-9C50-51105C493823}">
      <formula1>"Ja,Nej"</formula1>
    </dataValidation>
  </dataValidations>
  <printOptions horizontalCentered="1"/>
  <pageMargins left="0.25" right="0.25" top="0.5" bottom="0.5" header="0.5" footer="0.5"/>
  <pageSetup paperSize="9" scale="60" orientation="portrait" r:id="rId1"/>
  <headerFooter differentFirst="1" alignWithMargins="0">
    <oddFooter>Page &amp;P of &amp;N</oddFooter>
  </headerFooter>
  <ignoredErrors>
    <ignoredError sqref="C19:C30 C32:C34 C36:C38" numberStoredAsText="1"/>
    <ignoredError sqref="H5:H7 H9:H10 H12:H38 H2:H3 H39:H42" calculatedColumn="1"/>
  </ignoredErrors>
  <drawing r:id="rId2"/>
  <tableParts count="1">
    <tablePart r:id="rId3"/>
  </tableParts>
  <extLst>
    <ext xmlns:x14="http://schemas.microsoft.com/office/spreadsheetml/2009/9/main" uri="{CCE6A557-97BC-4b89-ADB6-D9C93CAAB3DF}">
      <x14:dataValidations xmlns:xm="http://schemas.microsoft.com/office/excel/2006/main" xWindow="196" yWindow="358" count="2">
        <x14:dataValidation type="list" allowBlank="1" showErrorMessage="1" xr:uid="{E7AB05CE-154C-4F69-B576-509DE16FC222}">
          <x14:formula1>
            <xm:f>Fordelingsnøgler!$C$7:$C$37</xm:f>
          </x14:formula1>
          <xm:sqref>F7:F42</xm:sqref>
        </x14:dataValidation>
        <x14:dataValidation type="list" allowBlank="1" showInputMessage="1" showErrorMessage="1" xr:uid="{9FACB1E5-1401-4E0A-9202-6E5C17726399}">
          <x14:formula1>
            <xm:f>Omkostningsdefinition!$B$5:$B$7</xm:f>
          </x14:formula1>
          <xm:sqref>E7:E42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CEEFB-F5B1-4C66-BA99-6CC5839F0C0B}">
  <sheetPr>
    <tabColor theme="9" tint="0.59999389629810485"/>
  </sheetPr>
  <dimension ref="B1:F37"/>
  <sheetViews>
    <sheetView showGridLines="0" topLeftCell="A35" zoomScaleNormal="100" workbookViewId="0">
      <selection activeCell="E41" sqref="E41"/>
    </sheetView>
  </sheetViews>
  <sheetFormatPr defaultColWidth="9.140625" defaultRowHeight="30" customHeight="1"/>
  <cols>
    <col min="1" max="1" width="1.42578125" customWidth="1"/>
    <col min="2" max="2" width="26.42578125" style="19" bestFit="1" customWidth="1"/>
    <col min="3" max="3" width="23.28515625" style="18" customWidth="1"/>
    <col min="4" max="4" width="14.7109375" customWidth="1"/>
    <col min="5" max="5" width="21.28515625" customWidth="1"/>
    <col min="6" max="6" width="74" customWidth="1"/>
  </cols>
  <sheetData>
    <row r="1" spans="2:6" ht="15">
      <c r="B1"/>
      <c r="C1"/>
    </row>
    <row r="2" spans="2:6" ht="18.75">
      <c r="B2" s="192" t="s">
        <v>8</v>
      </c>
      <c r="C2" s="192"/>
    </row>
    <row r="3" spans="2:6" ht="18.75" customHeight="1">
      <c r="B3" s="2"/>
      <c r="C3" s="4"/>
    </row>
    <row r="4" spans="2:6" ht="18.75">
      <c r="B4" s="2"/>
      <c r="C4" s="4"/>
    </row>
    <row r="5" spans="2:6" ht="15.75">
      <c r="B5" s="11" t="s">
        <v>8</v>
      </c>
      <c r="C5" s="3"/>
      <c r="D5" s="3"/>
      <c r="E5" s="3"/>
      <c r="F5" s="3"/>
    </row>
    <row r="6" spans="2:6" ht="24.75" customHeight="1">
      <c r="B6" s="32" t="s">
        <v>12</v>
      </c>
      <c r="C6" s="33" t="s">
        <v>11</v>
      </c>
      <c r="D6" s="32" t="s">
        <v>9</v>
      </c>
      <c r="E6" s="32" t="s">
        <v>41</v>
      </c>
      <c r="F6" s="32" t="s">
        <v>6</v>
      </c>
    </row>
    <row r="7" spans="2:6" ht="0.75" customHeight="1">
      <c r="B7" s="44"/>
      <c r="C7" s="45" t="s">
        <v>2</v>
      </c>
      <c r="D7" s="44"/>
      <c r="E7" s="44"/>
      <c r="F7" s="44"/>
    </row>
    <row r="8" spans="2:6" ht="25.5">
      <c r="B8" s="34" t="s">
        <v>246</v>
      </c>
      <c r="C8" s="35" t="s">
        <v>3</v>
      </c>
      <c r="D8" s="36">
        <v>0.75238472099543374</v>
      </c>
      <c r="E8" s="37" t="s">
        <v>44</v>
      </c>
      <c r="F8" s="38" t="s">
        <v>247</v>
      </c>
    </row>
    <row r="9" spans="2:6" ht="15">
      <c r="B9" s="34" t="s">
        <v>58</v>
      </c>
      <c r="C9" s="35" t="s">
        <v>10</v>
      </c>
      <c r="D9" s="39">
        <v>0</v>
      </c>
      <c r="E9" s="37"/>
      <c r="F9" s="38"/>
    </row>
    <row r="10" spans="2:6" ht="25.5">
      <c r="B10" s="34" t="s">
        <v>46</v>
      </c>
      <c r="C10" s="35" t="s">
        <v>13</v>
      </c>
      <c r="D10" s="39">
        <f>38/67</f>
        <v>0.56716417910447758</v>
      </c>
      <c r="E10" s="37" t="s">
        <v>248</v>
      </c>
      <c r="F10" s="38"/>
    </row>
    <row r="11" spans="2:6" ht="30" customHeight="1">
      <c r="B11" s="34"/>
      <c r="C11" s="35" t="s">
        <v>14</v>
      </c>
      <c r="D11" s="39"/>
      <c r="E11" s="37"/>
      <c r="F11" s="38"/>
    </row>
    <row r="12" spans="2:6" ht="30" customHeight="1">
      <c r="B12" s="34"/>
      <c r="C12" s="35" t="s">
        <v>15</v>
      </c>
      <c r="D12" s="39"/>
      <c r="E12" s="37"/>
      <c r="F12" s="38"/>
    </row>
    <row r="13" spans="2:6" ht="30" customHeight="1">
      <c r="B13" s="34"/>
      <c r="C13" s="35" t="s">
        <v>16</v>
      </c>
      <c r="D13" s="39"/>
      <c r="E13" s="37"/>
      <c r="F13" s="38"/>
    </row>
    <row r="14" spans="2:6" ht="30" customHeight="1">
      <c r="B14" s="34"/>
      <c r="C14" s="35" t="s">
        <v>17</v>
      </c>
      <c r="D14" s="39"/>
      <c r="E14" s="37"/>
      <c r="F14" s="38"/>
    </row>
    <row r="15" spans="2:6" ht="30" customHeight="1">
      <c r="B15" s="34"/>
      <c r="C15" s="35" t="s">
        <v>18</v>
      </c>
      <c r="D15" s="39"/>
      <c r="E15" s="37"/>
      <c r="F15" s="38"/>
    </row>
    <row r="16" spans="2:6" ht="30" customHeight="1">
      <c r="B16" s="34"/>
      <c r="C16" s="35" t="s">
        <v>19</v>
      </c>
      <c r="D16" s="39"/>
      <c r="E16" s="37"/>
      <c r="F16" s="38"/>
    </row>
    <row r="17" spans="2:6" ht="30" customHeight="1">
      <c r="B17" s="34"/>
      <c r="C17" s="35" t="s">
        <v>20</v>
      </c>
      <c r="D17" s="39"/>
      <c r="E17" s="37"/>
      <c r="F17" s="38"/>
    </row>
    <row r="18" spans="2:6" ht="30" customHeight="1">
      <c r="B18" s="34"/>
      <c r="C18" s="35" t="s">
        <v>21</v>
      </c>
      <c r="D18" s="39"/>
      <c r="E18" s="37"/>
      <c r="F18" s="38"/>
    </row>
    <row r="19" spans="2:6" ht="30" customHeight="1">
      <c r="B19" s="34"/>
      <c r="C19" s="35" t="s">
        <v>22</v>
      </c>
      <c r="D19" s="39"/>
      <c r="E19" s="37"/>
      <c r="F19" s="38"/>
    </row>
    <row r="20" spans="2:6" ht="30" customHeight="1">
      <c r="B20" s="34"/>
      <c r="C20" s="35" t="s">
        <v>23</v>
      </c>
      <c r="D20" s="39"/>
      <c r="E20" s="37"/>
      <c r="F20" s="38"/>
    </row>
    <row r="21" spans="2:6" ht="30" customHeight="1">
      <c r="B21" s="34"/>
      <c r="C21" s="35" t="s">
        <v>24</v>
      </c>
      <c r="D21" s="39"/>
      <c r="E21" s="37"/>
      <c r="F21" s="38"/>
    </row>
    <row r="22" spans="2:6" ht="30" customHeight="1">
      <c r="B22" s="34"/>
      <c r="C22" s="35" t="s">
        <v>25</v>
      </c>
      <c r="D22" s="39"/>
      <c r="E22" s="37"/>
      <c r="F22" s="38"/>
    </row>
    <row r="23" spans="2:6" ht="30" customHeight="1">
      <c r="B23" s="34"/>
      <c r="C23" s="35" t="s">
        <v>26</v>
      </c>
      <c r="D23" s="39"/>
      <c r="E23" s="37"/>
      <c r="F23" s="38"/>
    </row>
    <row r="24" spans="2:6" ht="30" customHeight="1">
      <c r="B24" s="34"/>
      <c r="C24" s="35" t="s">
        <v>27</v>
      </c>
      <c r="D24" s="39"/>
      <c r="E24" s="37"/>
      <c r="F24" s="38"/>
    </row>
    <row r="25" spans="2:6" ht="30" customHeight="1">
      <c r="B25" s="34"/>
      <c r="C25" s="35" t="s">
        <v>28</v>
      </c>
      <c r="D25" s="39"/>
      <c r="E25" s="37"/>
      <c r="F25" s="38"/>
    </row>
    <row r="26" spans="2:6" ht="30" customHeight="1">
      <c r="B26" s="34"/>
      <c r="C26" s="35" t="s">
        <v>29</v>
      </c>
      <c r="D26" s="39"/>
      <c r="E26" s="37"/>
      <c r="F26" s="38"/>
    </row>
    <row r="27" spans="2:6" ht="30" customHeight="1">
      <c r="B27" s="34"/>
      <c r="C27" s="35" t="s">
        <v>30</v>
      </c>
      <c r="D27" s="39"/>
      <c r="E27" s="37"/>
      <c r="F27" s="38"/>
    </row>
    <row r="28" spans="2:6" ht="30" customHeight="1">
      <c r="B28" s="34"/>
      <c r="C28" s="35" t="s">
        <v>31</v>
      </c>
      <c r="D28" s="39"/>
      <c r="E28" s="37"/>
      <c r="F28" s="38"/>
    </row>
    <row r="29" spans="2:6" ht="30" customHeight="1">
      <c r="B29" s="34"/>
      <c r="C29" s="35" t="s">
        <v>32</v>
      </c>
      <c r="D29" s="39"/>
      <c r="E29" s="37"/>
      <c r="F29" s="38"/>
    </row>
    <row r="30" spans="2:6" ht="30" customHeight="1">
      <c r="B30" s="34"/>
      <c r="C30" s="35" t="s">
        <v>33</v>
      </c>
      <c r="D30" s="39"/>
      <c r="E30" s="37"/>
      <c r="F30" s="38"/>
    </row>
    <row r="31" spans="2:6" ht="30" customHeight="1">
      <c r="B31" s="34"/>
      <c r="C31" s="35" t="s">
        <v>34</v>
      </c>
      <c r="D31" s="39"/>
      <c r="E31" s="37"/>
      <c r="F31" s="38"/>
    </row>
    <row r="32" spans="2:6" ht="30" customHeight="1">
      <c r="B32" s="34"/>
      <c r="C32" s="35" t="s">
        <v>35</v>
      </c>
      <c r="D32" s="39"/>
      <c r="E32" s="37"/>
      <c r="F32" s="38"/>
    </row>
    <row r="33" spans="2:6" ht="30" customHeight="1">
      <c r="B33" s="34"/>
      <c r="C33" s="35" t="s">
        <v>36</v>
      </c>
      <c r="D33" s="39"/>
      <c r="E33" s="37"/>
      <c r="F33" s="38"/>
    </row>
    <row r="34" spans="2:6" ht="30" customHeight="1">
      <c r="B34" s="34"/>
      <c r="C34" s="35" t="s">
        <v>37</v>
      </c>
      <c r="D34" s="39"/>
      <c r="E34" s="37"/>
      <c r="F34" s="38"/>
    </row>
    <row r="35" spans="2:6" ht="30" customHeight="1">
      <c r="B35" s="34"/>
      <c r="C35" s="35" t="s">
        <v>38</v>
      </c>
      <c r="D35" s="39"/>
      <c r="E35" s="37"/>
      <c r="F35" s="38"/>
    </row>
    <row r="36" spans="2:6" ht="30" customHeight="1">
      <c r="B36" s="34"/>
      <c r="C36" s="35" t="s">
        <v>39</v>
      </c>
      <c r="D36" s="39"/>
      <c r="E36" s="37"/>
      <c r="F36" s="38"/>
    </row>
    <row r="37" spans="2:6" ht="30" customHeight="1">
      <c r="B37" s="40"/>
      <c r="C37" s="35" t="s">
        <v>129</v>
      </c>
      <c r="D37" s="41"/>
      <c r="E37" s="42"/>
      <c r="F37" s="43"/>
    </row>
  </sheetData>
  <mergeCells count="1">
    <mergeCell ref="B2:C2"/>
  </mergeCells>
  <phoneticPr fontId="4" type="noConversion"/>
  <dataValidations count="1">
    <dataValidation allowBlank="1" showErrorMessage="1" sqref="B5:B7 C6:C7" xr:uid="{5984D0D4-48FE-432A-A0D6-E642E8F766C9}"/>
  </dataValidations>
  <printOptions horizontalCentered="1"/>
  <pageMargins left="0.25" right="0.25" top="0.5" bottom="0.5" header="0.5" footer="0.5"/>
  <pageSetup paperSize="9" scale="60" orientation="portrait" r:id="rId1"/>
  <headerFooter differentFirst="1" alignWithMargins="0">
    <oddFooter>Page &amp;P of &amp;N</oddFooter>
  </headerFooter>
  <ignoredErrors>
    <ignoredError sqref="C8:C36 C6" calculatedColumn="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674AC-8ABA-4415-973F-AA39269A48E4}">
  <sheetPr>
    <tabColor theme="9" tint="0.59999389629810485"/>
  </sheetPr>
  <dimension ref="B1:H49"/>
  <sheetViews>
    <sheetView showGridLines="0" topLeftCell="A36" zoomScaleNormal="100" workbookViewId="0">
      <selection activeCell="A50" sqref="A50:XFD1048576"/>
    </sheetView>
  </sheetViews>
  <sheetFormatPr defaultColWidth="9.140625" defaultRowHeight="20.100000000000001" customHeight="1"/>
  <cols>
    <col min="1" max="1" width="1.42578125" customWidth="1"/>
    <col min="2" max="2" width="28.5703125" style="18" customWidth="1"/>
    <col min="3" max="5" width="21" style="18" customWidth="1"/>
    <col min="6" max="6" width="20.140625" customWidth="1"/>
    <col min="7" max="7" width="20" bestFit="1" customWidth="1"/>
    <col min="8" max="8" width="9.7109375" bestFit="1" customWidth="1"/>
    <col min="9" max="9" width="20.85546875" bestFit="1" customWidth="1"/>
    <col min="10" max="10" width="11" bestFit="1" customWidth="1"/>
  </cols>
  <sheetData>
    <row r="1" spans="2:7" ht="15">
      <c r="B1"/>
      <c r="C1"/>
      <c r="D1"/>
      <c r="E1"/>
    </row>
    <row r="2" spans="2:7" ht="18.75">
      <c r="B2" s="192" t="s">
        <v>137</v>
      </c>
      <c r="C2" s="192"/>
      <c r="D2"/>
      <c r="E2"/>
    </row>
    <row r="3" spans="2:7" ht="15.75"/>
    <row r="4" spans="2:7" ht="15.75"/>
    <row r="5" spans="2:7" ht="15.75">
      <c r="B5" s="171" t="s">
        <v>279</v>
      </c>
      <c r="C5" s="172" t="s">
        <v>282</v>
      </c>
    </row>
    <row r="6" spans="2:7" ht="15.75"/>
    <row r="7" spans="2:7" ht="24">
      <c r="B7" s="56" t="str">
        <f>"Type af "&amp;LOWER(C5)</f>
        <v>Type af pladser</v>
      </c>
      <c r="C7" s="51" t="str">
        <f>"Antal "&amp;LOWER(C5)</f>
        <v>Antal pladser</v>
      </c>
      <c r="D7" s="52" t="s">
        <v>201</v>
      </c>
      <c r="E7" s="163" t="s">
        <v>283</v>
      </c>
    </row>
    <row r="8" spans="2:7" ht="15">
      <c r="B8" s="57" t="s">
        <v>298</v>
      </c>
      <c r="C8" s="53">
        <v>65</v>
      </c>
      <c r="D8" s="50">
        <v>1.2</v>
      </c>
      <c r="E8" s="164">
        <v>0.98</v>
      </c>
    </row>
    <row r="9" spans="2:7" ht="15">
      <c r="B9" s="57" t="s">
        <v>299</v>
      </c>
      <c r="C9" s="53">
        <v>31</v>
      </c>
      <c r="D9" s="50">
        <v>1</v>
      </c>
      <c r="E9" s="164">
        <v>0.95</v>
      </c>
      <c r="G9" s="91"/>
    </row>
    <row r="10" spans="2:7" ht="15">
      <c r="B10" s="57" t="s">
        <v>300</v>
      </c>
      <c r="C10" s="53">
        <v>10</v>
      </c>
      <c r="D10" s="50">
        <v>1.3</v>
      </c>
      <c r="E10" s="164">
        <v>0.98</v>
      </c>
      <c r="G10" s="91"/>
    </row>
    <row r="11" spans="2:7" ht="15">
      <c r="B11" s="46"/>
      <c r="C11" s="53"/>
      <c r="D11" s="50"/>
      <c r="E11" s="165"/>
      <c r="G11" s="91"/>
    </row>
    <row r="12" spans="2:7" ht="15">
      <c r="B12" s="46"/>
      <c r="C12" s="53"/>
      <c r="D12" s="50"/>
      <c r="E12" s="165"/>
      <c r="G12" s="91"/>
    </row>
    <row r="13" spans="2:7" ht="15">
      <c r="B13" s="46"/>
      <c r="C13" s="53"/>
      <c r="D13" s="46"/>
      <c r="E13" s="166"/>
      <c r="G13" s="91"/>
    </row>
    <row r="14" spans="2:7" ht="15">
      <c r="B14" s="46"/>
      <c r="C14" s="53"/>
      <c r="D14" s="46"/>
      <c r="E14" s="166"/>
      <c r="G14" s="91"/>
    </row>
    <row r="15" spans="2:7" ht="15">
      <c r="B15" s="113" t="s">
        <v>202</v>
      </c>
      <c r="C15" s="160">
        <f>SUM($C$8:$C$14)</f>
        <v>106</v>
      </c>
      <c r="D15" s="112">
        <f>SUMPRODUCT(C8:$C$14,$D$8:$D$14)/SUM(C8:C14)</f>
        <v>1.1509433962264151</v>
      </c>
      <c r="E15" s="111">
        <f>SUMPRODUCT($C$8:$C$14,$E$8:$E$14)/SUM($C$8:$C$14)</f>
        <v>0.97122641509433949</v>
      </c>
      <c r="G15" s="91"/>
    </row>
    <row r="16" spans="2:7" ht="15.75">
      <c r="G16" s="91"/>
    </row>
    <row r="17" spans="2:8" ht="15">
      <c r="B17" s="22"/>
      <c r="C17" s="22"/>
      <c r="D17" s="22"/>
      <c r="E17" s="22"/>
    </row>
    <row r="18" spans="2:8" ht="15">
      <c r="B18"/>
      <c r="C18"/>
      <c r="D18" s="100"/>
      <c r="E18" s="100"/>
    </row>
    <row r="19" spans="2:8" ht="15">
      <c r="B19" s="193" t="s">
        <v>271</v>
      </c>
      <c r="C19" s="194"/>
      <c r="D19" s="101"/>
      <c r="E19" s="101"/>
    </row>
    <row r="20" spans="2:8" ht="15">
      <c r="B20" s="195"/>
      <c r="C20" s="196"/>
      <c r="D20" s="31"/>
      <c r="E20" s="31"/>
      <c r="H20" s="99"/>
    </row>
    <row r="21" spans="2:8" ht="15">
      <c r="B21" s="195"/>
      <c r="C21" s="196"/>
      <c r="D21"/>
      <c r="E21"/>
    </row>
    <row r="22" spans="2:8" ht="15">
      <c r="B22" s="197"/>
      <c r="C22" s="198"/>
      <c r="D22"/>
      <c r="E22"/>
    </row>
    <row r="23" spans="2:8" ht="15">
      <c r="B23"/>
      <c r="C23" s="31"/>
      <c r="D23"/>
      <c r="E23"/>
    </row>
    <row r="24" spans="2:8" ht="15">
      <c r="B24"/>
      <c r="C24" s="31"/>
      <c r="D24"/>
      <c r="E24"/>
    </row>
    <row r="25" spans="2:8" ht="15">
      <c r="B25"/>
      <c r="C25" s="31"/>
      <c r="D25"/>
      <c r="E25"/>
    </row>
    <row r="26" spans="2:8" ht="15">
      <c r="B26"/>
      <c r="C26"/>
      <c r="D26"/>
      <c r="E26"/>
    </row>
    <row r="27" spans="2:8" ht="15">
      <c r="B27"/>
      <c r="C27"/>
      <c r="D27"/>
      <c r="E27"/>
    </row>
    <row r="28" spans="2:8" ht="15">
      <c r="B28"/>
      <c r="C28"/>
      <c r="D28"/>
      <c r="E28"/>
    </row>
    <row r="29" spans="2:8" ht="15.75"/>
    <row r="30" spans="2:8" ht="15">
      <c r="B30"/>
      <c r="C30"/>
      <c r="D30"/>
      <c r="E30"/>
    </row>
    <row r="31" spans="2:8" ht="15">
      <c r="B31"/>
      <c r="C31"/>
      <c r="D31"/>
      <c r="E31"/>
      <c r="F31" s="23"/>
      <c r="G31" s="23"/>
    </row>
    <row r="32" spans="2:8" ht="15">
      <c r="B32"/>
      <c r="C32"/>
      <c r="D32"/>
      <c r="E32"/>
      <c r="F32" s="22"/>
      <c r="G32" s="22"/>
    </row>
    <row r="33" spans="2:7" ht="15">
      <c r="B33"/>
      <c r="C33"/>
      <c r="D33"/>
      <c r="E33"/>
      <c r="F33" s="22"/>
      <c r="G33" s="22"/>
    </row>
    <row r="34" spans="2:7" ht="15">
      <c r="B34"/>
      <c r="C34"/>
      <c r="D34"/>
      <c r="E34"/>
      <c r="F34" s="22"/>
      <c r="G34" s="22"/>
    </row>
    <row r="35" spans="2:7" ht="15">
      <c r="B35"/>
      <c r="C35"/>
      <c r="D35"/>
      <c r="E35"/>
      <c r="F35" s="22"/>
      <c r="G35" s="22"/>
    </row>
    <row r="36" spans="2:7" ht="15">
      <c r="B36"/>
      <c r="C36"/>
      <c r="D36"/>
      <c r="E36"/>
      <c r="F36" s="22"/>
      <c r="G36" s="22"/>
    </row>
    <row r="37" spans="2:7" ht="15">
      <c r="B37"/>
      <c r="C37"/>
      <c r="D37"/>
      <c r="E37"/>
      <c r="F37" s="22"/>
      <c r="G37" s="22"/>
    </row>
    <row r="38" spans="2:7" ht="15">
      <c r="B38"/>
      <c r="C38"/>
      <c r="D38"/>
      <c r="E38"/>
      <c r="F38" s="22"/>
      <c r="G38" s="22"/>
    </row>
    <row r="39" spans="2:7" ht="15.75"/>
    <row r="40" spans="2:7" ht="15.75"/>
    <row r="41" spans="2:7" ht="15">
      <c r="B41"/>
      <c r="C41"/>
      <c r="D41"/>
      <c r="E41"/>
    </row>
    <row r="42" spans="2:7" ht="15">
      <c r="B42"/>
      <c r="C42"/>
      <c r="D42"/>
      <c r="E42"/>
      <c r="F42" s="23"/>
      <c r="G42" s="23"/>
    </row>
    <row r="43" spans="2:7" ht="15">
      <c r="B43"/>
      <c r="C43"/>
      <c r="D43"/>
      <c r="E43"/>
      <c r="F43" s="22"/>
      <c r="G43" s="22"/>
    </row>
    <row r="44" spans="2:7" ht="15">
      <c r="B44"/>
      <c r="C44"/>
      <c r="D44"/>
      <c r="E44"/>
      <c r="F44" s="22"/>
      <c r="G44" s="22"/>
    </row>
    <row r="45" spans="2:7" ht="15">
      <c r="B45"/>
      <c r="C45"/>
      <c r="D45"/>
      <c r="E45"/>
      <c r="F45" s="22"/>
      <c r="G45" s="22"/>
    </row>
    <row r="46" spans="2:7" ht="15">
      <c r="B46"/>
      <c r="C46"/>
      <c r="D46"/>
      <c r="E46"/>
      <c r="F46" s="22"/>
      <c r="G46" s="22"/>
    </row>
    <row r="47" spans="2:7" ht="15">
      <c r="B47"/>
      <c r="C47"/>
      <c r="D47"/>
      <c r="E47"/>
      <c r="F47" s="22"/>
      <c r="G47" s="22"/>
    </row>
    <row r="48" spans="2:7" ht="15">
      <c r="B48"/>
      <c r="C48"/>
      <c r="D48"/>
      <c r="E48"/>
      <c r="F48" s="22"/>
      <c r="G48" s="22"/>
    </row>
    <row r="49" spans="2:7" ht="15">
      <c r="B49"/>
      <c r="C49"/>
      <c r="D49"/>
      <c r="E49"/>
      <c r="F49" s="22"/>
      <c r="G49" s="22"/>
    </row>
  </sheetData>
  <mergeCells count="2">
    <mergeCell ref="B2:C2"/>
    <mergeCell ref="B19:C22"/>
  </mergeCells>
  <phoneticPr fontId="4" type="noConversion"/>
  <conditionalFormatting sqref="E7:E15">
    <cfRule type="expression" dxfId="0" priority="1">
      <formula>$C$5&lt;&gt;"Pladser"</formula>
    </cfRule>
  </conditionalFormatting>
  <dataValidations count="2">
    <dataValidation allowBlank="1" showErrorMessage="1" sqref="F42 F31 B7:E12" xr:uid="{738B2306-731A-431F-AABD-156A367CD22F}"/>
    <dataValidation type="list" allowBlank="1" showInputMessage="1" showErrorMessage="1" sqref="C5" xr:uid="{DA60F90B-9A1F-4272-9355-BD6A6AA425FD}">
      <formula1>"Forløbsdøgn, Pladser"</formula1>
    </dataValidation>
  </dataValidations>
  <printOptions horizontalCentered="1"/>
  <pageMargins left="0.25" right="0.25" top="0.5" bottom="0.5" header="0.5" footer="0.5"/>
  <pageSetup paperSize="9" scale="60" orientation="portrait" r:id="rId1"/>
  <headerFooter differentFirst="1"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70A35-3229-4F35-AE3A-339795BB498D}">
  <sheetPr>
    <tabColor theme="9" tint="0.59999389629810485"/>
  </sheetPr>
  <dimension ref="B2:N109"/>
  <sheetViews>
    <sheetView showGridLines="0" zoomScale="90" zoomScaleNormal="90" workbookViewId="0">
      <selection activeCell="A110" sqref="A110:XFD1048576"/>
    </sheetView>
  </sheetViews>
  <sheetFormatPr defaultColWidth="9.140625" defaultRowHeight="20.100000000000001" customHeight="1"/>
  <cols>
    <col min="1" max="1" width="1.42578125" customWidth="1"/>
    <col min="2" max="2" width="61.42578125" style="19" customWidth="1"/>
    <col min="3" max="3" width="27.28515625" style="18" customWidth="1"/>
    <col min="4" max="4" width="4.42578125" customWidth="1"/>
    <col min="5" max="5" width="53.140625" customWidth="1"/>
    <col min="6" max="6" width="23.5703125" customWidth="1"/>
    <col min="7" max="8" width="18" customWidth="1"/>
    <col min="9" max="10" width="23.5703125" customWidth="1"/>
    <col min="11" max="11" width="13.42578125" customWidth="1"/>
    <col min="12" max="12" width="10.85546875" customWidth="1"/>
    <col min="13" max="14" width="16.7109375" bestFit="1" customWidth="1"/>
  </cols>
  <sheetData>
    <row r="2" spans="2:14" ht="20.100000000000001" customHeight="1">
      <c r="B2" s="192" t="s">
        <v>203</v>
      </c>
      <c r="C2" s="192"/>
      <c r="F2" s="207"/>
      <c r="G2" s="207"/>
      <c r="H2" s="207"/>
      <c r="I2" s="207"/>
      <c r="J2" s="207"/>
      <c r="K2" s="207"/>
    </row>
    <row r="3" spans="2:14" ht="21" customHeight="1">
      <c r="E3" s="204" t="str">
        <f xml:space="preserve"> _xlfn.CONCAT("Omkostninger fordel på takstkategorier (Samlet) ",$C$5)</f>
        <v>Omkostninger fordel på takstkategorier (Samlet) 2024-PL</v>
      </c>
      <c r="F3" s="205" t="s">
        <v>205</v>
      </c>
      <c r="G3" s="202" t="s">
        <v>208</v>
      </c>
      <c r="H3" s="202"/>
      <c r="I3" s="205" t="s">
        <v>207</v>
      </c>
      <c r="J3" s="202" t="s">
        <v>308</v>
      </c>
      <c r="K3" s="202" t="s">
        <v>202</v>
      </c>
      <c r="L3" s="202"/>
      <c r="N3" s="90"/>
    </row>
    <row r="4" spans="2:14" ht="22.5" customHeight="1">
      <c r="B4" s="149" t="s">
        <v>134</v>
      </c>
      <c r="C4" s="146">
        <f>Omkostninger!C4</f>
        <v>2024</v>
      </c>
      <c r="E4" s="204"/>
      <c r="F4" s="205"/>
      <c r="G4" s="173" t="s">
        <v>313</v>
      </c>
      <c r="H4" s="174" t="s">
        <v>312</v>
      </c>
      <c r="I4" s="205"/>
      <c r="J4" s="202"/>
      <c r="K4" s="202"/>
      <c r="L4" s="202"/>
      <c r="N4" s="90"/>
    </row>
    <row r="5" spans="2:14" ht="18.75" customHeight="1">
      <c r="B5" s="149" t="s">
        <v>139</v>
      </c>
      <c r="C5" s="147" t="s">
        <v>222</v>
      </c>
      <c r="E5" s="149" t="s">
        <v>244</v>
      </c>
      <c r="F5" s="168">
        <f>SUM(Omkostninger!Q:Q)*$C$6*(1+Omkostninger!$F$2)*(1+Omkostninger!$F$3)</f>
        <v>41863437.170581199</v>
      </c>
      <c r="G5" s="168">
        <f>SUM(Omkostninger!R:R)*$C$6*(1+Omkostninger!$F$2)*(1+Omkostninger!$F$3)</f>
        <v>12457518.188183116</v>
      </c>
      <c r="H5" s="168">
        <f>SUM(Omkostninger!S:S)*$C$6*(1+Omkostninger!$F$2)*(1+Omkostninger!$F$3)</f>
        <v>3351362.7045084648</v>
      </c>
      <c r="I5" s="168">
        <f>SUM(Omkostninger!T:T)*$C$6*(1+Omkostninger!$F$2)*(1+Omkostninger!$F$3)</f>
        <v>2589656.7506247824</v>
      </c>
      <c r="J5" s="168">
        <f>SUM(Omkostninger!U:U)*$C$6*(1+Omkostninger!$F$2)*(1+Omkostninger!$F$3)</f>
        <v>445728.41060010024</v>
      </c>
      <c r="K5" s="203">
        <f>SUM(F5:J5)</f>
        <v>60707703.224497661</v>
      </c>
      <c r="L5" s="203"/>
      <c r="N5" s="90"/>
    </row>
    <row r="6" spans="2:14" ht="18.75" customHeight="1">
      <c r="B6" s="149" t="s">
        <v>45</v>
      </c>
      <c r="C6" s="150">
        <f>INDEX(PL!$C$6:$L$15,MATCH(C4,PL!$B$6:$B$15,0),MATCH(C5,PL!$C$5:$L$5,0))</f>
        <v>1</v>
      </c>
      <c r="N6" s="90"/>
    </row>
    <row r="7" spans="2:14" ht="18.75" customHeight="1">
      <c r="B7"/>
      <c r="C7"/>
      <c r="E7" s="201" t="s">
        <v>245</v>
      </c>
      <c r="F7" s="205" t="s">
        <v>205</v>
      </c>
      <c r="G7" s="202" t="s">
        <v>208</v>
      </c>
      <c r="H7" s="202"/>
      <c r="I7" s="205" t="s">
        <v>207</v>
      </c>
      <c r="J7" s="202" t="s">
        <v>308</v>
      </c>
      <c r="K7" s="206" t="s">
        <v>202</v>
      </c>
      <c r="L7" s="206" t="s">
        <v>296</v>
      </c>
      <c r="N7" s="90"/>
    </row>
    <row r="8" spans="2:14" ht="15.75">
      <c r="B8" s="149" t="s">
        <v>297</v>
      </c>
      <c r="C8" s="148">
        <v>365</v>
      </c>
      <c r="E8" s="201"/>
      <c r="F8" s="205"/>
      <c r="G8" s="151" t="s">
        <v>250</v>
      </c>
      <c r="H8" s="152" t="s">
        <v>206</v>
      </c>
      <c r="I8" s="205"/>
      <c r="J8" s="202"/>
      <c r="K8" s="206"/>
      <c r="L8" s="206"/>
    </row>
    <row r="9" spans="2:14" ht="21.75" customHeight="1">
      <c r="B9" s="149" t="str">
        <f>"Antal belagte "&amp;IF(Enheder!$C$5="Pladser","pladsdøgn","forløbsdøgn")&amp;" i året"</f>
        <v>Antal belagte pladsdøgn i året</v>
      </c>
      <c r="C9" s="167">
        <f>Enheder!$C$15*IF(Enheder!C5="Pladser",$C$8,1)*IF(Enheder!C5="Pladser",Enheder!E15,1)</f>
        <v>37576.749999999993</v>
      </c>
      <c r="E9" s="149" t="s">
        <v>251</v>
      </c>
      <c r="F9" s="154" t="s">
        <v>40</v>
      </c>
      <c r="G9" s="155" t="s">
        <v>40</v>
      </c>
      <c r="H9" s="155" t="s">
        <v>40</v>
      </c>
      <c r="I9" s="155" t="s">
        <v>243</v>
      </c>
      <c r="J9" s="155" t="s">
        <v>40</v>
      </c>
      <c r="K9" s="156"/>
      <c r="L9" s="157"/>
    </row>
    <row r="10" spans="2:14" ht="21.75" customHeight="1">
      <c r="E10" s="149" t="str">
        <f>IF(Enheder!B8="","",Enheder!B8)</f>
        <v>Indtast navn på type 1</v>
      </c>
      <c r="F10" s="153">
        <f>IF($E10="","",
IF(F$9="Ja",
(F$5/$C$9)*$L10,
(F$5/$C$9)))</f>
        <v>1151.1644203334013</v>
      </c>
      <c r="G10" s="153">
        <f t="shared" ref="G10:J16" si="0">IF($E10="","",
IF(G$9="Ja",
(G$5/$C$9)*$L10,
(G$5/$C$9)))</f>
        <v>342.55791385353001</v>
      </c>
      <c r="H10" s="153">
        <f t="shared" si="0"/>
        <v>92.156061848012513</v>
      </c>
      <c r="I10" s="153">
        <f t="shared" si="0"/>
        <v>68.916464319686582</v>
      </c>
      <c r="J10" s="153">
        <f t="shared" si="0"/>
        <v>12.256678430961934</v>
      </c>
      <c r="K10" s="153">
        <f>IF(E10="","",SUM(F10:J10))</f>
        <v>1667.0515387855924</v>
      </c>
      <c r="L10" s="158">
        <f>IF(E10="","",(Enheder!D8/Enheder!$D$15)*IF(Enheder!$C$5="Pladser",Enheder!$E$15/Enheder!E8,1))</f>
        <v>1.0332887253261958</v>
      </c>
      <c r="N10" s="78"/>
    </row>
    <row r="11" spans="2:14" ht="21.75" customHeight="1">
      <c r="B11" s="149" t="str">
        <f>IF(Omkostningsdefinition!$B5=0,"",_xlfn.CONCAT(Omkostningsdefinition!$B5," ",$C$5))</f>
        <v>Direkte omkostning 2024-PL</v>
      </c>
      <c r="C11" s="161">
        <f>IF(SUMIF(Omkostninger!E:E,Omkostningsdefinition!$B5,Omkostninger!H:H)*$C$6=0,"",SUMIF(Omkostninger!E:E,Omkostningsdefinition!$B5,Omkostninger!H:H)*$C$6)</f>
        <v>40455056.945294075</v>
      </c>
      <c r="E11" s="149" t="str">
        <f>IF(Enheder!B9="","",Enheder!B9)</f>
        <v>Indtast navn på type 2</v>
      </c>
      <c r="F11" s="153">
        <f t="shared" ref="F11:F16" si="1">IF($E11="","",
IF(F$9="Ja",
(F$5/$C$9)*$L11,
(F$5/$C$9)))</f>
        <v>989.59748414625756</v>
      </c>
      <c r="G11" s="153">
        <f t="shared" si="0"/>
        <v>294.47961015478899</v>
      </c>
      <c r="H11" s="153">
        <f t="shared" si="0"/>
        <v>79.221877728993235</v>
      </c>
      <c r="I11" s="153">
        <f t="shared" si="0"/>
        <v>68.916464319686582</v>
      </c>
      <c r="J11" s="153">
        <f t="shared" si="0"/>
        <v>10.536442861704121</v>
      </c>
      <c r="K11" s="153">
        <f t="shared" ref="K11:K16" si="2">IF(E11="","",SUM(F11:J11))</f>
        <v>1442.7518792114304</v>
      </c>
      <c r="L11" s="158">
        <f>IF(E11="","",(Enheder!D9/Enheder!$D$15)*IF(Enheder!$C$5="Pladser",Enheder!$E$15/Enheder!E9,1))</f>
        <v>0.88826574633304567</v>
      </c>
    </row>
    <row r="12" spans="2:14" ht="21.75" customHeight="1">
      <c r="B12" s="149" t="str">
        <f>IF(Omkostningsdefinition!$B6=0,"",_xlfn.CONCAT(Omkostningsdefinition!$B6," ",$C$5))</f>
        <v>Indirekte omkostning 2024-PL</v>
      </c>
      <c r="C12" s="161">
        <f>IF(SUMIF(Omkostninger!E:E,Omkostningsdefinition!$B6,Omkostninger!H:H)*$C$6=0,"",SUMIF(Omkostninger!E:E,Omkostningsdefinition!$B6,Omkostninger!H:H)*$C$6)</f>
        <v>9028616.6519452054</v>
      </c>
      <c r="D12" s="55"/>
      <c r="E12" s="149" t="str">
        <f>IF(Enheder!B10="","",Enheder!B10)</f>
        <v>Indtast navn på type 3</v>
      </c>
      <c r="F12" s="153">
        <f t="shared" si="1"/>
        <v>1247.0947886945185</v>
      </c>
      <c r="G12" s="153">
        <f t="shared" si="0"/>
        <v>371.10440667465758</v>
      </c>
      <c r="H12" s="153">
        <f t="shared" si="0"/>
        <v>99.835733668680248</v>
      </c>
      <c r="I12" s="153">
        <f t="shared" si="0"/>
        <v>68.916464319686582</v>
      </c>
      <c r="J12" s="153">
        <f t="shared" si="0"/>
        <v>13.278068300208766</v>
      </c>
      <c r="K12" s="153">
        <f t="shared" si="2"/>
        <v>1800.2294616577517</v>
      </c>
      <c r="L12" s="158">
        <f>IF(E12="","",(Enheder!D10/Enheder!$D$15)*IF(Enheder!$C$5="Pladser",Enheder!$E$15/Enheder!E10,1))</f>
        <v>1.119396119103379</v>
      </c>
      <c r="M12" s="78"/>
      <c r="N12" s="78"/>
    </row>
    <row r="13" spans="2:14" ht="21.75" customHeight="1">
      <c r="B13" s="149" t="str">
        <f>IF(Omkostningsdefinition!$B7=0,"",_xlfn.CONCAT(Omkostningsdefinition!$B7," ",$C$5))</f>
        <v>Fællesomkostning 2024-PL</v>
      </c>
      <c r="C13" s="161">
        <f>IF(SUMIF(Omkostninger!E:E,Omkostningsdefinition!$B7,Omkostninger!H:H)*$C$6=0,"",SUMIF(Omkostninger!E:E,Omkostningsdefinition!$B7,Omkostninger!H:H)*$C$6)</f>
        <v>5000000</v>
      </c>
      <c r="E13" s="149" t="str">
        <f>IF(Enheder!B11="","",Enheder!B11)</f>
        <v/>
      </c>
      <c r="F13" s="153" t="str">
        <f t="shared" si="1"/>
        <v/>
      </c>
      <c r="G13" s="153" t="str">
        <f t="shared" si="0"/>
        <v/>
      </c>
      <c r="H13" s="153" t="str">
        <f t="shared" si="0"/>
        <v/>
      </c>
      <c r="I13" s="153" t="str">
        <f t="shared" si="0"/>
        <v/>
      </c>
      <c r="J13" s="153" t="str">
        <f t="shared" si="0"/>
        <v/>
      </c>
      <c r="K13" s="153" t="str">
        <f t="shared" si="2"/>
        <v/>
      </c>
      <c r="L13" s="158" t="str">
        <f>IF(E13="","",(Enheder!D11/Enheder!$D$15)*IF(Enheder!$C$5="Pladser",Enheder!$E$15/Enheder!E11,1))</f>
        <v/>
      </c>
      <c r="M13" s="78"/>
    </row>
    <row r="14" spans="2:14" ht="21.75" customHeight="1">
      <c r="B14" s="145" t="str">
        <f>_xlfn.CONCAT("Samlede årlige omkostninger ",$C$5)</f>
        <v>Samlede årlige omkostninger 2024-PL</v>
      </c>
      <c r="C14" s="162">
        <f>SUM(C11:C13)</f>
        <v>54483673.597239278</v>
      </c>
      <c r="E14" s="149" t="str">
        <f>IF(Enheder!B12="","",Enheder!B12)</f>
        <v/>
      </c>
      <c r="F14" s="153" t="str">
        <f t="shared" si="1"/>
        <v/>
      </c>
      <c r="G14" s="153" t="str">
        <f t="shared" si="0"/>
        <v/>
      </c>
      <c r="H14" s="153" t="str">
        <f t="shared" si="0"/>
        <v/>
      </c>
      <c r="I14" s="153" t="str">
        <f t="shared" si="0"/>
        <v/>
      </c>
      <c r="J14" s="153" t="str">
        <f t="shared" si="0"/>
        <v/>
      </c>
      <c r="K14" s="153" t="str">
        <f t="shared" si="2"/>
        <v/>
      </c>
      <c r="L14" s="158" t="str">
        <f>IF(E14="","",(Enheder!D12/Enheder!$D$15)*IF(Enheder!$C$5="Pladser",Enheder!$E$15/Enheder!E12,1))</f>
        <v/>
      </c>
      <c r="M14" s="78"/>
    </row>
    <row r="15" spans="2:14" ht="21.75" customHeight="1">
      <c r="B15" s="149" t="str">
        <f>IF(Omkostningsdefinition!$B8=0,"",_xlfn.CONCAT(Omkostningsdefinition!$B8," ",$C$5))</f>
        <v>Overhead 2024-PL</v>
      </c>
      <c r="C15" s="161">
        <f>C14*Omkostninger!F2</f>
        <v>3432471.4366260744</v>
      </c>
      <c r="E15" s="149" t="str">
        <f>IF(Enheder!B13="","",Enheder!B13)</f>
        <v/>
      </c>
      <c r="F15" s="153" t="str">
        <f t="shared" si="1"/>
        <v/>
      </c>
      <c r="G15" s="153" t="str">
        <f t="shared" si="0"/>
        <v/>
      </c>
      <c r="H15" s="153" t="str">
        <f t="shared" si="0"/>
        <v/>
      </c>
      <c r="I15" s="153" t="str">
        <f t="shared" si="0"/>
        <v/>
      </c>
      <c r="J15" s="153" t="str">
        <f t="shared" si="0"/>
        <v/>
      </c>
      <c r="K15" s="153" t="str">
        <f t="shared" si="2"/>
        <v/>
      </c>
      <c r="L15" s="158" t="str">
        <f>IF(E15="","",(Enheder!D13/Enheder!$D$15)*IF(Enheder!$C$5="Pladser",Enheder!$E$15/Enheder!E13,1))</f>
        <v/>
      </c>
      <c r="M15" s="78"/>
      <c r="N15" s="78"/>
    </row>
    <row r="16" spans="2:14" ht="21.75" customHeight="1">
      <c r="B16" s="149" t="str">
        <f>IF(Omkostningsdefinition!$B9=0,"",_xlfn.CONCAT(Omkostningsdefinition!$B9," ",$C$5))</f>
        <v>Moms 2024-PL</v>
      </c>
      <c r="C16" s="161">
        <f>SUM(C14:C15)*Omkostninger!F3</f>
        <v>2791558.1906323102</v>
      </c>
      <c r="E16" s="149" t="str">
        <f>IF(Enheder!B14="","",Enheder!B14)</f>
        <v/>
      </c>
      <c r="F16" s="153" t="str">
        <f t="shared" si="1"/>
        <v/>
      </c>
      <c r="G16" s="153" t="str">
        <f t="shared" si="0"/>
        <v/>
      </c>
      <c r="H16" s="153" t="str">
        <f t="shared" si="0"/>
        <v/>
      </c>
      <c r="I16" s="153" t="str">
        <f t="shared" si="0"/>
        <v/>
      </c>
      <c r="J16" s="153" t="str">
        <f t="shared" si="0"/>
        <v/>
      </c>
      <c r="K16" s="153" t="str">
        <f t="shared" si="2"/>
        <v/>
      </c>
      <c r="L16" s="158" t="str">
        <f>IF(E16="","",(Enheder!D14/Enheder!$D$15)*IF(Enheder!$C$5="Pladser",Enheder!$E$15/Enheder!E14,1))</f>
        <v/>
      </c>
      <c r="M16" s="78"/>
      <c r="N16" s="78"/>
    </row>
    <row r="17" spans="2:14" ht="21.75" customHeight="1">
      <c r="B17" s="145" t="str">
        <f>_xlfn.CONCAT("Samlede årlige omkostninger ",$C$5,", inkl. moms og overhead")</f>
        <v>Samlede årlige omkostninger 2024-PL, inkl. moms og overhead</v>
      </c>
      <c r="C17" s="162">
        <f>SUM(C14:C16)</f>
        <v>60707703.224497668</v>
      </c>
      <c r="E17" s="145" t="s">
        <v>249</v>
      </c>
      <c r="F17" s="153">
        <f>IF($E17="","",
(F$5/$C$9))</f>
        <v>1114.0781778781084</v>
      </c>
      <c r="G17" s="153">
        <f t="shared" ref="G17:J17" si="3">IF($E17="","",
(G$5/$C$9))</f>
        <v>331.52197005284165</v>
      </c>
      <c r="H17" s="153">
        <f t="shared" si="3"/>
        <v>89.187135782324589</v>
      </c>
      <c r="I17" s="153">
        <f t="shared" si="3"/>
        <v>68.916464319686582</v>
      </c>
      <c r="J17" s="153">
        <f t="shared" si="3"/>
        <v>11.861813770485748</v>
      </c>
      <c r="K17" s="159">
        <f>SUM(F17:J17)</f>
        <v>1615.5655618034468</v>
      </c>
      <c r="M17" s="78"/>
      <c r="N17" s="78"/>
    </row>
    <row r="18" spans="2:14" ht="21.75" customHeight="1">
      <c r="F18" s="78"/>
      <c r="G18" s="78"/>
      <c r="H18" s="78"/>
      <c r="I18" s="78"/>
      <c r="J18" s="78"/>
      <c r="K18" s="78"/>
      <c r="M18" s="78"/>
    </row>
    <row r="19" spans="2:14" ht="21.75" customHeight="1">
      <c r="F19" s="78"/>
      <c r="G19" s="78"/>
      <c r="H19" s="78"/>
      <c r="I19" s="78"/>
      <c r="J19" s="78"/>
      <c r="K19" s="78"/>
      <c r="M19" s="78"/>
    </row>
    <row r="20" spans="2:14" ht="21.75" customHeight="1">
      <c r="F20" s="78"/>
      <c r="G20" s="78"/>
      <c r="H20" s="78"/>
      <c r="I20" s="78"/>
      <c r="J20" s="78"/>
      <c r="K20" s="78"/>
      <c r="M20" s="78"/>
    </row>
    <row r="21" spans="2:14" ht="21.75" customHeight="1">
      <c r="F21" s="78"/>
      <c r="G21" s="78"/>
      <c r="H21" s="78"/>
      <c r="I21" s="78"/>
      <c r="J21" s="78"/>
      <c r="K21" s="78"/>
      <c r="M21" s="78"/>
    </row>
    <row r="22" spans="2:14" ht="21.75" customHeight="1">
      <c r="F22" s="78"/>
      <c r="G22" s="78"/>
      <c r="H22" s="78"/>
      <c r="I22" s="78"/>
      <c r="J22" s="78"/>
      <c r="K22" s="78"/>
      <c r="M22" s="78"/>
    </row>
    <row r="23" spans="2:14" ht="21.75" customHeight="1">
      <c r="F23" s="78" t="s">
        <v>301</v>
      </c>
      <c r="G23" s="78"/>
      <c r="H23" s="78"/>
      <c r="I23" s="78"/>
      <c r="J23" s="78"/>
      <c r="K23" s="78"/>
      <c r="M23" s="78"/>
    </row>
    <row r="24" spans="2:14" ht="21.75" customHeight="1">
      <c r="E24" t="s">
        <v>302</v>
      </c>
      <c r="F24" s="169">
        <f>F10*Enheder!$C8*IF(Enheder!$C$5="Pladser",$C$8,1)*IF(Enheder!$C$5="Pladser",Enheder!$E8,1)</f>
        <v>26765148.354961745</v>
      </c>
      <c r="G24" s="169">
        <f>G10*Enheder!$C8*IF(Enheder!$C$5="Pladser",$C$8,1)*IF(Enheder!$C$5="Pladser",Enheder!$E8,1)</f>
        <v>7964642.7760514989</v>
      </c>
      <c r="H24" s="169">
        <f>H10*Enheder!$C8*IF(Enheder!$C$5="Pladser",$C$8,1)*IF(Enheder!$C$5="Pladser",Enheder!$E8,1)</f>
        <v>2142674.5159972152</v>
      </c>
      <c r="I24" s="169">
        <f>I10*Enheder!$C8*IF(Enheder!$C$5="Pladser",$C$8,1)*IF(Enheder!$C$5="Pladser",Enheder!$E8,1)</f>
        <v>1602342.2536648728</v>
      </c>
      <c r="J24" s="169">
        <f>J10*Enheder!$C8*IF(Enheder!$C$5="Pladser",$C$8,1)*IF(Enheder!$C$5="Pladser",Enheder!$E8,1)</f>
        <v>284973.90185908048</v>
      </c>
      <c r="K24" s="200">
        <f>SUM(F24:J24)</f>
        <v>38759781.802534416</v>
      </c>
      <c r="L24" s="200"/>
      <c r="M24" s="78"/>
    </row>
    <row r="25" spans="2:14" ht="21.75" customHeight="1">
      <c r="E25" t="s">
        <v>303</v>
      </c>
      <c r="F25" s="169">
        <f>F11*Enheder!$C9*IF(Enheder!$C$5="Pladser",$C$8,1)*IF(Enheder!$C$5="Pladser",Enheder!$E9,1)</f>
        <v>10637430.756459158</v>
      </c>
      <c r="G25" s="169">
        <f>G11*Enheder!$C9*IF(Enheder!$C$5="Pladser",$C$8,1)*IF(Enheder!$C$5="Pladser",Enheder!$E9,1)</f>
        <v>3165434.9494563653</v>
      </c>
      <c r="H25" s="169">
        <f>H11*Enheder!$C9*IF(Enheder!$C$5="Pladser",$C$8,1)*IF(Enheder!$C$5="Pladser",Enheder!$E9,1)</f>
        <v>851575.76917838061</v>
      </c>
      <c r="I25" s="169">
        <f>I11*Enheder!$C9*IF(Enheder!$C$5="Pladser",$C$8,1)*IF(Enheder!$C$5="Pladser",Enheder!$E9,1)</f>
        <v>740800.30408839101</v>
      </c>
      <c r="J25" s="169">
        <f>J11*Enheder!$C9*IF(Enheder!$C$5="Pladser",$C$8,1)*IF(Enheder!$C$5="Pladser",Enheder!$E9,1)</f>
        <v>113258.85843117301</v>
      </c>
      <c r="K25" s="200">
        <f>SUM(F25:J25)</f>
        <v>15508500.63761347</v>
      </c>
      <c r="L25" s="200"/>
    </row>
    <row r="26" spans="2:14" ht="21.75" customHeight="1">
      <c r="E26" t="s">
        <v>304</v>
      </c>
      <c r="F26" s="169">
        <f>F12*Enheder!$C10*IF(Enheder!$C$5="Pladser",$C$8,1)*IF(Enheder!$C$5="Pladser",Enheder!$E10,1)</f>
        <v>4460858.0591602921</v>
      </c>
      <c r="G26" s="169">
        <f>G12*Enheder!$C10*IF(Enheder!$C$5="Pladser",$C$8,1)*IF(Enheder!$C$5="Pladser",Enheder!$E10,1)</f>
        <v>1327440.4626752501</v>
      </c>
      <c r="H26" s="169">
        <f>H12*Enheder!$C10*IF(Enheder!$C$5="Pladser",$C$8,1)*IF(Enheder!$C$5="Pladser",Enheder!$E10,1)</f>
        <v>357112.41933286923</v>
      </c>
      <c r="I26" s="169">
        <f>I12*Enheder!$C10*IF(Enheder!$C$5="Pladser",$C$8,1)*IF(Enheder!$C$5="Pladser",Enheder!$E10,1)</f>
        <v>246514.19287151893</v>
      </c>
      <c r="J26" s="169">
        <f>J12*Enheder!$C10*IF(Enheder!$C$5="Pladser",$C$8,1)*IF(Enheder!$C$5="Pladser",Enheder!$E10,1)</f>
        <v>47495.650309846744</v>
      </c>
      <c r="K26" s="200">
        <f>SUM(F26:J26)</f>
        <v>6439420.7843497777</v>
      </c>
      <c r="L26" s="200"/>
    </row>
    <row r="27" spans="2:14" ht="21.75" customHeight="1">
      <c r="E27" t="s">
        <v>305</v>
      </c>
      <c r="F27" s="169">
        <f>SUM(F24:F26)</f>
        <v>41863437.170581192</v>
      </c>
      <c r="G27" s="169">
        <f>SUM(G24:G26)</f>
        <v>12457518.188183114</v>
      </c>
      <c r="H27" s="169">
        <f>SUM(H24:H26)</f>
        <v>3351362.7045084652</v>
      </c>
      <c r="I27" s="169">
        <f>SUM(I24:I26)</f>
        <v>2589656.7506247829</v>
      </c>
      <c r="J27" s="169">
        <f>SUM(J24:J26)</f>
        <v>445728.41060010024</v>
      </c>
      <c r="K27" s="200">
        <f>SUM(F27:J27)</f>
        <v>60707703.224497661</v>
      </c>
      <c r="L27" s="200"/>
    </row>
    <row r="28" spans="2:14" ht="21.75" customHeight="1">
      <c r="E28" t="s">
        <v>306</v>
      </c>
      <c r="F28" s="169">
        <f>F5</f>
        <v>41863437.170581199</v>
      </c>
      <c r="G28" s="169">
        <f t="shared" ref="G28:J28" si="4">G5</f>
        <v>12457518.188183116</v>
      </c>
      <c r="H28" s="169">
        <f t="shared" si="4"/>
        <v>3351362.7045084648</v>
      </c>
      <c r="I28" s="169">
        <f t="shared" si="4"/>
        <v>2589656.7506247824</v>
      </c>
      <c r="J28" s="169">
        <f t="shared" si="4"/>
        <v>445728.41060010024</v>
      </c>
      <c r="K28" s="200">
        <f>SUM(F28:J28)</f>
        <v>60707703.224497661</v>
      </c>
      <c r="L28" s="200"/>
    </row>
    <row r="29" spans="2:14" ht="21.75" customHeight="1">
      <c r="E29" t="s">
        <v>307</v>
      </c>
      <c r="F29" s="170">
        <f>F27-F28</f>
        <v>0</v>
      </c>
      <c r="G29" s="170">
        <f t="shared" ref="G29:K29" si="5">G27-G28</f>
        <v>0</v>
      </c>
      <c r="H29" s="170">
        <f t="shared" si="5"/>
        <v>0</v>
      </c>
      <c r="I29" s="170">
        <f t="shared" si="5"/>
        <v>0</v>
      </c>
      <c r="J29" s="170">
        <f t="shared" si="5"/>
        <v>0</v>
      </c>
      <c r="K29" s="199">
        <f t="shared" si="5"/>
        <v>0</v>
      </c>
      <c r="L29" s="199"/>
    </row>
    <row r="30" spans="2:14" ht="21.75" customHeight="1">
      <c r="F30" s="78"/>
      <c r="G30" s="78"/>
      <c r="H30" s="78"/>
      <c r="I30" s="78"/>
      <c r="J30" s="78"/>
      <c r="K30" s="78"/>
    </row>
    <row r="31" spans="2:14" ht="21.75" customHeight="1">
      <c r="F31" s="78"/>
      <c r="G31" s="78"/>
      <c r="H31" s="78"/>
      <c r="I31" s="78"/>
      <c r="J31" s="78"/>
      <c r="K31" s="78"/>
    </row>
    <row r="32" spans="2:14" ht="15.75">
      <c r="F32" s="78"/>
      <c r="G32" s="78"/>
      <c r="H32" s="78"/>
      <c r="I32" s="78"/>
      <c r="J32" s="78"/>
      <c r="K32" s="78"/>
    </row>
    <row r="33" spans="2:14" ht="15.75">
      <c r="F33" s="78"/>
      <c r="G33" s="78"/>
      <c r="H33" s="78"/>
      <c r="I33" s="78"/>
      <c r="J33" s="78"/>
      <c r="K33" s="78"/>
    </row>
    <row r="34" spans="2:14" ht="15.75">
      <c r="F34" s="78"/>
      <c r="G34" s="78"/>
      <c r="H34" s="78"/>
      <c r="I34" s="78"/>
      <c r="J34" s="78"/>
      <c r="K34" s="78"/>
    </row>
    <row r="35" spans="2:14" ht="15.75">
      <c r="C35"/>
      <c r="F35" s="78"/>
      <c r="G35" s="78"/>
      <c r="H35" s="78"/>
      <c r="I35" s="78"/>
      <c r="J35" s="78"/>
      <c r="K35" s="78"/>
    </row>
    <row r="36" spans="2:14" ht="15">
      <c r="B36"/>
      <c r="C36"/>
      <c r="F36" s="78"/>
      <c r="G36" s="78"/>
      <c r="H36" s="78"/>
      <c r="I36" s="78"/>
      <c r="J36" s="78"/>
      <c r="K36" s="78"/>
    </row>
    <row r="37" spans="2:14" ht="15">
      <c r="B37"/>
      <c r="C37"/>
      <c r="D37" s="23"/>
      <c r="F37" s="78"/>
      <c r="G37" s="78"/>
      <c r="H37" s="78"/>
      <c r="I37" s="78"/>
      <c r="J37" s="78"/>
      <c r="K37" s="78"/>
    </row>
    <row r="38" spans="2:14" ht="15">
      <c r="B38"/>
      <c r="C38"/>
      <c r="D38" s="22"/>
      <c r="F38" s="78"/>
      <c r="G38" s="78"/>
      <c r="H38" s="78"/>
      <c r="I38" s="78"/>
      <c r="J38" s="78"/>
      <c r="K38" s="78"/>
    </row>
    <row r="39" spans="2:14" ht="15">
      <c r="B39"/>
      <c r="C39"/>
      <c r="D39" s="22"/>
    </row>
    <row r="40" spans="2:14" ht="15">
      <c r="B40"/>
      <c r="C40"/>
      <c r="D40" s="22"/>
    </row>
    <row r="41" spans="2:14" ht="15">
      <c r="B41"/>
      <c r="C41"/>
      <c r="D41" s="22"/>
      <c r="F41" s="78"/>
      <c r="G41" s="78"/>
      <c r="H41" s="78"/>
      <c r="I41" s="78"/>
      <c r="J41" s="78"/>
    </row>
    <row r="42" spans="2:14" ht="15">
      <c r="B42"/>
      <c r="C42"/>
      <c r="D42" s="22"/>
      <c r="I42" s="78"/>
      <c r="J42" s="78"/>
    </row>
    <row r="43" spans="2:14" ht="15">
      <c r="B43"/>
      <c r="C43"/>
      <c r="D43" s="22"/>
      <c r="I43" s="78"/>
      <c r="J43" s="78"/>
    </row>
    <row r="44" spans="2:14" ht="15.75">
      <c r="D44" s="22"/>
      <c r="I44" s="78"/>
      <c r="J44" s="78"/>
    </row>
    <row r="45" spans="2:14" ht="15.75"/>
    <row r="46" spans="2:14" ht="15.75"/>
    <row r="47" spans="2:14" ht="15.75"/>
    <row r="48" spans="2:14" s="19" customFormat="1" ht="15.75">
      <c r="C48" s="18"/>
      <c r="D48"/>
      <c r="E48"/>
      <c r="F48"/>
      <c r="G48"/>
      <c r="H48"/>
      <c r="I48"/>
      <c r="J48"/>
      <c r="K48"/>
      <c r="L48"/>
      <c r="M48"/>
      <c r="N48"/>
    </row>
    <row r="49" spans="3:14" s="19" customFormat="1" ht="15.75">
      <c r="C49" s="18"/>
      <c r="D49"/>
      <c r="E49"/>
      <c r="F49"/>
      <c r="G49"/>
      <c r="H49"/>
      <c r="I49"/>
      <c r="J49"/>
      <c r="K49"/>
      <c r="L49"/>
      <c r="M49"/>
      <c r="N49"/>
    </row>
    <row r="50" spans="3:14" s="19" customFormat="1" ht="15.75">
      <c r="C50" s="18"/>
      <c r="D50"/>
      <c r="E50"/>
      <c r="F50"/>
      <c r="G50"/>
      <c r="H50"/>
      <c r="I50"/>
      <c r="J50"/>
      <c r="K50"/>
      <c r="L50"/>
      <c r="M50"/>
      <c r="N50"/>
    </row>
    <row r="51" spans="3:14" s="19" customFormat="1" ht="15.75">
      <c r="C51" s="18"/>
      <c r="D51"/>
      <c r="E51"/>
      <c r="F51"/>
      <c r="G51"/>
      <c r="H51"/>
      <c r="I51"/>
      <c r="J51"/>
      <c r="K51"/>
      <c r="L51"/>
      <c r="M51"/>
      <c r="N51"/>
    </row>
    <row r="52" spans="3:14" s="19" customFormat="1" ht="15.75">
      <c r="C52" s="18"/>
      <c r="D52"/>
      <c r="E52"/>
      <c r="F52"/>
      <c r="G52"/>
      <c r="H52"/>
      <c r="I52"/>
      <c r="J52"/>
      <c r="K52"/>
      <c r="L52"/>
      <c r="M52"/>
      <c r="N52"/>
    </row>
    <row r="53" spans="3:14" s="19" customFormat="1" ht="15.75">
      <c r="C53" s="18"/>
      <c r="D53"/>
      <c r="E53"/>
      <c r="F53"/>
      <c r="G53"/>
      <c r="H53"/>
      <c r="I53"/>
      <c r="J53"/>
      <c r="K53"/>
      <c r="L53"/>
      <c r="M53"/>
      <c r="N53"/>
    </row>
    <row r="54" spans="3:14" s="19" customFormat="1" ht="15.75">
      <c r="C54" s="18"/>
      <c r="D54"/>
      <c r="E54"/>
      <c r="F54"/>
      <c r="G54"/>
      <c r="H54"/>
      <c r="I54"/>
      <c r="J54"/>
      <c r="K54"/>
      <c r="L54"/>
      <c r="M54"/>
      <c r="N54"/>
    </row>
    <row r="55" spans="3:14" s="19" customFormat="1" ht="15.75">
      <c r="C55" s="18"/>
      <c r="D55"/>
      <c r="E55"/>
      <c r="F55"/>
      <c r="G55"/>
      <c r="H55"/>
      <c r="I55"/>
      <c r="J55"/>
      <c r="K55"/>
      <c r="L55"/>
      <c r="M55"/>
      <c r="N55"/>
    </row>
    <row r="56" spans="3:14" s="19" customFormat="1" ht="15.75">
      <c r="C56" s="18"/>
      <c r="D56"/>
      <c r="E56"/>
      <c r="F56"/>
      <c r="G56"/>
      <c r="H56"/>
      <c r="I56"/>
      <c r="J56"/>
      <c r="K56"/>
      <c r="L56"/>
      <c r="M56"/>
      <c r="N56"/>
    </row>
    <row r="57" spans="3:14" s="19" customFormat="1" ht="15.75">
      <c r="C57" s="18"/>
      <c r="D57"/>
      <c r="E57"/>
      <c r="F57"/>
      <c r="G57"/>
      <c r="H57"/>
      <c r="I57"/>
      <c r="J57"/>
      <c r="K57"/>
      <c r="L57"/>
      <c r="M57"/>
      <c r="N57"/>
    </row>
    <row r="58" spans="3:14" s="19" customFormat="1" ht="15.75">
      <c r="C58" s="18"/>
      <c r="D58"/>
      <c r="E58"/>
      <c r="F58"/>
      <c r="G58"/>
      <c r="H58"/>
      <c r="I58"/>
      <c r="J58"/>
      <c r="K58"/>
      <c r="L58"/>
      <c r="M58"/>
      <c r="N58"/>
    </row>
    <row r="59" spans="3:14" s="19" customFormat="1" ht="15.75">
      <c r="C59" s="18"/>
      <c r="D59"/>
      <c r="E59"/>
      <c r="F59"/>
      <c r="G59"/>
      <c r="H59"/>
      <c r="I59"/>
      <c r="J59"/>
      <c r="K59"/>
      <c r="L59"/>
      <c r="M59"/>
      <c r="N59"/>
    </row>
    <row r="60" spans="3:14" s="19" customFormat="1" ht="15.75">
      <c r="C60" s="18"/>
      <c r="D60"/>
      <c r="E60"/>
      <c r="F60"/>
      <c r="G60"/>
      <c r="H60"/>
      <c r="I60"/>
      <c r="J60"/>
      <c r="K60"/>
      <c r="L60"/>
      <c r="M60"/>
      <c r="N60"/>
    </row>
    <row r="61" spans="3:14" s="19" customFormat="1" ht="15.75">
      <c r="C61" s="18"/>
      <c r="D61"/>
      <c r="E61"/>
      <c r="F61"/>
      <c r="G61"/>
      <c r="H61"/>
      <c r="I61"/>
      <c r="J61"/>
      <c r="K61"/>
      <c r="L61"/>
      <c r="M61"/>
      <c r="N61"/>
    </row>
    <row r="62" spans="3:14" s="19" customFormat="1" ht="15.75">
      <c r="C62" s="18"/>
      <c r="D62"/>
      <c r="E62"/>
      <c r="F62"/>
      <c r="G62"/>
      <c r="H62"/>
      <c r="I62"/>
      <c r="J62"/>
      <c r="K62"/>
      <c r="L62"/>
      <c r="M62"/>
      <c r="N62"/>
    </row>
    <row r="63" spans="3:14" s="19" customFormat="1" ht="15.75">
      <c r="C63" s="18"/>
      <c r="D63"/>
      <c r="E63"/>
      <c r="F63"/>
      <c r="G63"/>
      <c r="H63"/>
      <c r="I63"/>
      <c r="J63"/>
      <c r="K63"/>
      <c r="L63"/>
      <c r="M63"/>
      <c r="N63"/>
    </row>
    <row r="64" spans="3:14" s="19" customFormat="1" ht="15.75">
      <c r="C64" s="18"/>
      <c r="D64"/>
      <c r="E64"/>
      <c r="F64"/>
      <c r="G64"/>
      <c r="H64"/>
      <c r="I64"/>
      <c r="J64"/>
      <c r="K64"/>
      <c r="L64"/>
      <c r="M64"/>
      <c r="N64"/>
    </row>
    <row r="65" spans="3:14" s="19" customFormat="1" ht="15.75">
      <c r="C65" s="18"/>
      <c r="D65"/>
      <c r="E65"/>
      <c r="F65"/>
      <c r="G65"/>
      <c r="H65"/>
      <c r="I65"/>
      <c r="J65"/>
      <c r="K65"/>
      <c r="L65"/>
      <c r="M65"/>
      <c r="N65"/>
    </row>
    <row r="66" spans="3:14" s="19" customFormat="1" ht="15.75">
      <c r="C66" s="18"/>
      <c r="D66"/>
      <c r="E66"/>
      <c r="F66"/>
      <c r="G66"/>
      <c r="H66"/>
      <c r="I66"/>
      <c r="J66"/>
      <c r="K66"/>
      <c r="L66"/>
      <c r="M66"/>
      <c r="N66"/>
    </row>
    <row r="67" spans="3:14" s="19" customFormat="1" ht="15.75">
      <c r="C67" s="18"/>
      <c r="D67"/>
      <c r="E67"/>
      <c r="F67"/>
      <c r="G67"/>
      <c r="H67"/>
      <c r="I67"/>
      <c r="J67"/>
      <c r="K67"/>
      <c r="L67"/>
      <c r="M67"/>
      <c r="N67"/>
    </row>
    <row r="68" spans="3:14" s="19" customFormat="1" ht="15.75">
      <c r="C68" s="18"/>
      <c r="D68"/>
      <c r="E68"/>
      <c r="F68"/>
      <c r="G68"/>
      <c r="H68"/>
      <c r="I68"/>
      <c r="J68"/>
      <c r="K68"/>
      <c r="L68"/>
      <c r="M68"/>
      <c r="N68"/>
    </row>
    <row r="69" spans="3:14" s="19" customFormat="1" ht="15.75">
      <c r="C69" s="18"/>
      <c r="D69"/>
      <c r="E69"/>
      <c r="F69"/>
      <c r="G69"/>
      <c r="H69"/>
      <c r="I69"/>
      <c r="J69"/>
      <c r="K69"/>
      <c r="L69"/>
      <c r="M69"/>
      <c r="N69"/>
    </row>
    <row r="70" spans="3:14" s="19" customFormat="1" ht="15.75">
      <c r="C70" s="18"/>
      <c r="D70"/>
      <c r="E70"/>
      <c r="F70"/>
      <c r="G70"/>
      <c r="H70"/>
      <c r="I70"/>
      <c r="J70"/>
      <c r="K70"/>
      <c r="L70"/>
      <c r="M70"/>
      <c r="N70"/>
    </row>
    <row r="71" spans="3:14" s="19" customFormat="1" ht="15.75">
      <c r="C71" s="18"/>
      <c r="D71"/>
      <c r="E71"/>
      <c r="F71"/>
      <c r="G71"/>
      <c r="H71"/>
      <c r="I71"/>
      <c r="J71"/>
      <c r="K71"/>
      <c r="L71"/>
      <c r="M71"/>
      <c r="N71"/>
    </row>
    <row r="72" spans="3:14" s="19" customFormat="1" ht="15.75">
      <c r="C72" s="18"/>
      <c r="D72"/>
      <c r="E72"/>
      <c r="F72"/>
      <c r="G72"/>
      <c r="H72"/>
      <c r="I72"/>
      <c r="J72"/>
      <c r="K72"/>
      <c r="L72"/>
      <c r="M72"/>
      <c r="N72"/>
    </row>
    <row r="73" spans="3:14" s="19" customFormat="1" ht="15.75">
      <c r="C73" s="18"/>
      <c r="D73"/>
      <c r="E73"/>
      <c r="F73"/>
      <c r="G73"/>
      <c r="H73"/>
      <c r="I73"/>
      <c r="J73"/>
      <c r="K73"/>
      <c r="L73"/>
      <c r="M73"/>
      <c r="N73"/>
    </row>
    <row r="74" spans="3:14" s="19" customFormat="1" ht="15.75">
      <c r="C74" s="18"/>
      <c r="D74"/>
      <c r="E74"/>
      <c r="F74"/>
      <c r="G74"/>
      <c r="H74"/>
      <c r="I74"/>
      <c r="J74"/>
      <c r="K74"/>
      <c r="L74"/>
      <c r="M74"/>
      <c r="N74"/>
    </row>
    <row r="75" spans="3:14" s="19" customFormat="1" ht="15.75">
      <c r="C75" s="18"/>
      <c r="D75"/>
      <c r="E75"/>
      <c r="F75"/>
      <c r="G75"/>
      <c r="H75"/>
      <c r="I75"/>
      <c r="J75"/>
      <c r="K75"/>
      <c r="L75"/>
      <c r="M75"/>
      <c r="N75"/>
    </row>
    <row r="76" spans="3:14" s="19" customFormat="1" ht="15.75">
      <c r="C76" s="18"/>
      <c r="D76"/>
      <c r="E76"/>
      <c r="F76"/>
      <c r="G76"/>
      <c r="H76"/>
      <c r="I76"/>
      <c r="J76"/>
      <c r="K76"/>
      <c r="L76"/>
      <c r="M76"/>
      <c r="N76"/>
    </row>
    <row r="77" spans="3:14" s="19" customFormat="1" ht="15.75">
      <c r="C77" s="18"/>
      <c r="D77"/>
      <c r="E77"/>
      <c r="F77"/>
      <c r="G77"/>
      <c r="H77"/>
      <c r="I77"/>
      <c r="J77"/>
      <c r="K77"/>
      <c r="L77"/>
      <c r="M77"/>
      <c r="N77"/>
    </row>
    <row r="78" spans="3:14" s="19" customFormat="1" ht="15.75">
      <c r="C78" s="18"/>
      <c r="D78"/>
      <c r="E78"/>
      <c r="F78"/>
      <c r="G78"/>
      <c r="H78"/>
      <c r="I78"/>
      <c r="J78"/>
      <c r="K78"/>
      <c r="L78"/>
      <c r="M78"/>
      <c r="N78"/>
    </row>
    <row r="79" spans="3:14" s="19" customFormat="1" ht="15.75">
      <c r="C79" s="18"/>
      <c r="D79"/>
      <c r="E79"/>
      <c r="F79"/>
      <c r="G79"/>
      <c r="H79"/>
      <c r="I79"/>
      <c r="J79"/>
      <c r="K79"/>
      <c r="L79"/>
      <c r="M79"/>
      <c r="N79"/>
    </row>
    <row r="80" spans="3:14" s="19" customFormat="1" ht="15.75">
      <c r="C80" s="18"/>
      <c r="D80"/>
      <c r="E80"/>
      <c r="F80"/>
      <c r="G80"/>
      <c r="H80"/>
      <c r="I80"/>
      <c r="J80"/>
      <c r="K80"/>
      <c r="L80"/>
      <c r="M80"/>
      <c r="N80"/>
    </row>
    <row r="81" spans="3:14" s="19" customFormat="1" ht="15.75">
      <c r="C81" s="18"/>
      <c r="D81"/>
      <c r="E81"/>
      <c r="F81"/>
      <c r="G81"/>
      <c r="H81"/>
      <c r="I81"/>
      <c r="J81"/>
      <c r="K81"/>
      <c r="L81"/>
      <c r="M81"/>
      <c r="N81"/>
    </row>
    <row r="82" spans="3:14" s="19" customFormat="1" ht="15.75">
      <c r="C82" s="18"/>
      <c r="D82"/>
      <c r="E82"/>
      <c r="F82"/>
      <c r="G82"/>
      <c r="H82"/>
      <c r="I82"/>
      <c r="J82"/>
      <c r="K82"/>
      <c r="L82"/>
      <c r="M82"/>
      <c r="N82"/>
    </row>
    <row r="83" spans="3:14" s="19" customFormat="1" ht="15.75">
      <c r="C83" s="18"/>
      <c r="D83"/>
      <c r="E83"/>
      <c r="F83"/>
      <c r="G83"/>
      <c r="H83"/>
      <c r="I83"/>
      <c r="J83"/>
      <c r="K83"/>
      <c r="L83"/>
      <c r="M83"/>
      <c r="N83"/>
    </row>
    <row r="84" spans="3:14" s="19" customFormat="1" ht="15.75">
      <c r="C84" s="18"/>
      <c r="D84"/>
      <c r="E84"/>
      <c r="F84"/>
      <c r="G84"/>
      <c r="H84"/>
      <c r="I84"/>
      <c r="J84"/>
      <c r="K84"/>
      <c r="L84"/>
      <c r="M84"/>
      <c r="N84"/>
    </row>
    <row r="85" spans="3:14" s="19" customFormat="1" ht="15.75">
      <c r="C85" s="18"/>
      <c r="D85"/>
      <c r="E85"/>
      <c r="F85"/>
      <c r="G85"/>
      <c r="H85"/>
      <c r="I85"/>
      <c r="J85"/>
      <c r="K85"/>
      <c r="L85"/>
      <c r="M85"/>
      <c r="N85"/>
    </row>
    <row r="86" spans="3:14" s="19" customFormat="1" ht="15.75">
      <c r="C86" s="18"/>
      <c r="D86"/>
      <c r="E86"/>
      <c r="F86"/>
      <c r="G86"/>
      <c r="H86"/>
      <c r="I86"/>
      <c r="J86"/>
      <c r="K86"/>
      <c r="L86"/>
      <c r="M86"/>
      <c r="N86"/>
    </row>
    <row r="87" spans="3:14" s="19" customFormat="1" ht="15.75">
      <c r="C87" s="18"/>
      <c r="D87"/>
      <c r="E87"/>
      <c r="F87"/>
      <c r="G87"/>
      <c r="H87"/>
      <c r="I87"/>
      <c r="J87"/>
      <c r="K87"/>
      <c r="L87"/>
      <c r="M87"/>
      <c r="N87"/>
    </row>
    <row r="88" spans="3:14" s="19" customFormat="1" ht="15.75">
      <c r="C88" s="18"/>
      <c r="D88"/>
      <c r="E88"/>
      <c r="F88"/>
      <c r="G88"/>
      <c r="H88"/>
      <c r="I88"/>
      <c r="J88"/>
      <c r="K88"/>
      <c r="L88"/>
      <c r="M88"/>
      <c r="N88"/>
    </row>
    <row r="89" spans="3:14" s="19" customFormat="1" ht="15.75">
      <c r="C89" s="18"/>
      <c r="D89"/>
      <c r="E89"/>
      <c r="F89"/>
      <c r="G89"/>
      <c r="H89"/>
      <c r="I89"/>
      <c r="J89"/>
      <c r="K89"/>
      <c r="L89"/>
      <c r="M89"/>
      <c r="N89"/>
    </row>
    <row r="90" spans="3:14" s="19" customFormat="1" ht="15.75">
      <c r="C90" s="18"/>
      <c r="D90"/>
      <c r="E90"/>
      <c r="F90"/>
      <c r="G90"/>
      <c r="H90"/>
      <c r="I90"/>
      <c r="J90"/>
      <c r="K90"/>
      <c r="L90"/>
      <c r="M90"/>
      <c r="N90"/>
    </row>
    <row r="91" spans="3:14" s="19" customFormat="1" ht="15.75">
      <c r="C91" s="18"/>
      <c r="D91"/>
      <c r="E91"/>
      <c r="F91"/>
      <c r="G91"/>
      <c r="H91"/>
      <c r="I91"/>
      <c r="J91"/>
      <c r="K91"/>
      <c r="L91"/>
      <c r="M91"/>
      <c r="N91"/>
    </row>
    <row r="92" spans="3:14" s="19" customFormat="1" ht="15.75">
      <c r="C92" s="18"/>
      <c r="D92"/>
      <c r="E92"/>
      <c r="F92"/>
      <c r="G92"/>
      <c r="H92"/>
      <c r="I92"/>
      <c r="J92"/>
      <c r="K92"/>
      <c r="L92"/>
      <c r="M92"/>
      <c r="N92"/>
    </row>
    <row r="93" spans="3:14" s="19" customFormat="1" ht="15.75">
      <c r="C93" s="18"/>
      <c r="D93"/>
      <c r="E93"/>
      <c r="F93"/>
      <c r="G93"/>
      <c r="H93"/>
      <c r="I93"/>
      <c r="J93"/>
      <c r="K93"/>
      <c r="L93"/>
      <c r="M93"/>
      <c r="N93"/>
    </row>
    <row r="94" spans="3:14" s="19" customFormat="1" ht="15.75">
      <c r="C94" s="18"/>
      <c r="D94"/>
      <c r="E94"/>
      <c r="F94"/>
      <c r="G94"/>
      <c r="H94"/>
      <c r="I94"/>
      <c r="J94"/>
      <c r="K94"/>
      <c r="L94"/>
      <c r="M94"/>
      <c r="N94"/>
    </row>
    <row r="95" spans="3:14" s="19" customFormat="1" ht="15.75">
      <c r="C95" s="18"/>
      <c r="D95"/>
      <c r="E95"/>
      <c r="F95"/>
      <c r="G95"/>
      <c r="H95"/>
      <c r="I95"/>
      <c r="J95"/>
      <c r="K95"/>
      <c r="L95"/>
      <c r="M95"/>
      <c r="N95"/>
    </row>
    <row r="96" spans="3:14" s="19" customFormat="1" ht="15.75">
      <c r="C96" s="18"/>
      <c r="D96"/>
      <c r="E96"/>
      <c r="F96"/>
      <c r="G96"/>
      <c r="H96"/>
      <c r="I96"/>
      <c r="J96"/>
      <c r="K96"/>
      <c r="L96"/>
      <c r="M96"/>
      <c r="N96"/>
    </row>
    <row r="97" spans="3:14" s="19" customFormat="1" ht="15.75">
      <c r="C97" s="18"/>
      <c r="D97"/>
      <c r="E97"/>
      <c r="F97"/>
      <c r="G97"/>
      <c r="H97"/>
      <c r="I97"/>
      <c r="J97"/>
      <c r="K97"/>
      <c r="L97"/>
      <c r="M97"/>
      <c r="N97"/>
    </row>
    <row r="98" spans="3:14" s="19" customFormat="1" ht="15.75">
      <c r="C98" s="18"/>
      <c r="D98"/>
      <c r="E98"/>
      <c r="F98"/>
      <c r="G98"/>
      <c r="H98"/>
      <c r="I98"/>
      <c r="J98"/>
      <c r="K98"/>
      <c r="L98"/>
      <c r="M98"/>
      <c r="N98"/>
    </row>
    <row r="99" spans="3:14" s="19" customFormat="1" ht="15.75">
      <c r="C99" s="18"/>
      <c r="D99"/>
      <c r="E99"/>
      <c r="F99"/>
      <c r="G99"/>
      <c r="H99"/>
      <c r="I99"/>
      <c r="J99"/>
      <c r="K99"/>
      <c r="L99"/>
      <c r="M99"/>
      <c r="N99"/>
    </row>
    <row r="100" spans="3:14" s="19" customFormat="1" ht="15.75">
      <c r="C100" s="18"/>
      <c r="D100"/>
      <c r="E100"/>
      <c r="F100"/>
      <c r="G100"/>
      <c r="H100"/>
      <c r="I100"/>
      <c r="J100"/>
      <c r="K100"/>
      <c r="L100"/>
      <c r="M100"/>
      <c r="N100"/>
    </row>
    <row r="101" spans="3:14" s="19" customFormat="1" ht="15.75">
      <c r="C101" s="18"/>
      <c r="D101"/>
      <c r="E101"/>
      <c r="F101"/>
      <c r="G101"/>
      <c r="H101"/>
      <c r="I101"/>
      <c r="J101"/>
      <c r="K101"/>
      <c r="L101"/>
      <c r="M101"/>
      <c r="N101"/>
    </row>
    <row r="102" spans="3:14" s="19" customFormat="1" ht="15.75">
      <c r="C102" s="18"/>
      <c r="D102"/>
      <c r="E102"/>
      <c r="F102"/>
      <c r="G102"/>
      <c r="H102"/>
      <c r="I102"/>
      <c r="J102"/>
      <c r="K102"/>
      <c r="L102"/>
      <c r="M102"/>
      <c r="N102"/>
    </row>
    <row r="103" spans="3:14" s="19" customFormat="1" ht="15.75">
      <c r="C103" s="18"/>
      <c r="D103"/>
      <c r="E103"/>
      <c r="F103"/>
      <c r="G103"/>
      <c r="H103"/>
      <c r="I103"/>
      <c r="J103"/>
      <c r="K103"/>
      <c r="L103"/>
      <c r="M103"/>
      <c r="N103"/>
    </row>
    <row r="104" spans="3:14" s="19" customFormat="1" ht="15.75">
      <c r="C104" s="18"/>
      <c r="D104"/>
      <c r="E104"/>
      <c r="F104"/>
      <c r="G104"/>
      <c r="H104"/>
      <c r="I104"/>
      <c r="J104"/>
      <c r="K104"/>
      <c r="L104"/>
      <c r="M104"/>
      <c r="N104"/>
    </row>
    <row r="105" spans="3:14" s="19" customFormat="1" ht="15.75">
      <c r="C105" s="18"/>
      <c r="D105"/>
      <c r="E105"/>
      <c r="F105"/>
      <c r="G105"/>
      <c r="H105"/>
      <c r="I105"/>
      <c r="J105"/>
      <c r="K105"/>
      <c r="L105"/>
      <c r="M105"/>
      <c r="N105"/>
    </row>
    <row r="106" spans="3:14" s="19" customFormat="1" ht="15.75">
      <c r="C106" s="18"/>
      <c r="D106"/>
      <c r="E106"/>
      <c r="F106"/>
      <c r="G106"/>
      <c r="H106"/>
      <c r="I106"/>
      <c r="J106"/>
      <c r="K106"/>
      <c r="L106"/>
      <c r="M106"/>
      <c r="N106"/>
    </row>
    <row r="107" spans="3:14" s="19" customFormat="1" ht="15.75">
      <c r="C107" s="18"/>
      <c r="D107"/>
      <c r="E107"/>
      <c r="F107"/>
      <c r="G107"/>
      <c r="H107"/>
      <c r="I107"/>
      <c r="J107"/>
      <c r="K107"/>
      <c r="L107"/>
      <c r="M107"/>
      <c r="N107"/>
    </row>
    <row r="108" spans="3:14" s="19" customFormat="1" ht="15.75">
      <c r="C108" s="18"/>
      <c r="D108"/>
      <c r="E108"/>
      <c r="F108"/>
      <c r="G108"/>
      <c r="H108"/>
      <c r="I108"/>
      <c r="J108"/>
      <c r="K108"/>
      <c r="L108"/>
      <c r="M108"/>
      <c r="N108"/>
    </row>
    <row r="109" spans="3:14" s="19" customFormat="1" ht="15.75">
      <c r="C109" s="18"/>
      <c r="D109"/>
      <c r="E109"/>
      <c r="F109"/>
      <c r="G109"/>
      <c r="H109"/>
      <c r="I109"/>
      <c r="J109"/>
      <c r="K109"/>
      <c r="L109"/>
      <c r="M109"/>
      <c r="N109"/>
    </row>
  </sheetData>
  <mergeCells count="22">
    <mergeCell ref="E7:E8"/>
    <mergeCell ref="G7:H7"/>
    <mergeCell ref="K5:L5"/>
    <mergeCell ref="B2:C2"/>
    <mergeCell ref="E3:E4"/>
    <mergeCell ref="F3:F4"/>
    <mergeCell ref="G3:H3"/>
    <mergeCell ref="I3:I4"/>
    <mergeCell ref="K3:L4"/>
    <mergeCell ref="K7:K8"/>
    <mergeCell ref="L7:L8"/>
    <mergeCell ref="F2:K2"/>
    <mergeCell ref="J3:J4"/>
    <mergeCell ref="F7:F8"/>
    <mergeCell ref="I7:I8"/>
    <mergeCell ref="J7:J8"/>
    <mergeCell ref="K29:L29"/>
    <mergeCell ref="K24:L24"/>
    <mergeCell ref="K25:L25"/>
    <mergeCell ref="K26:L26"/>
    <mergeCell ref="K27:L27"/>
    <mergeCell ref="K28:L28"/>
  </mergeCells>
  <dataValidations count="2">
    <dataValidation allowBlank="1" showErrorMessage="1" sqref="E9:E17 E5:K5 K9 F10:K17" xr:uid="{9AAD17A4-B53F-4EF6-A0F6-A46DDBBC479E}"/>
    <dataValidation type="list" allowBlank="1" showErrorMessage="1" sqref="F9:J9" xr:uid="{1C7C1505-213A-4352-B605-75434738FDD8}">
      <formula1>"Ja, Nej"</formula1>
    </dataValidation>
  </dataValidations>
  <printOptions horizontalCentered="1"/>
  <pageMargins left="0.25" right="0.25" top="0.5" bottom="0.5" header="0.5" footer="0.5"/>
  <pageSetup paperSize="9" scale="60" orientation="portrait" r:id="rId1"/>
  <headerFooter differentFirst="1" alignWithMargins="0">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D712937-4272-4840-A98D-835DE8CE5B92}">
          <x14:formula1>
            <xm:f>PL!$C$5:$L$5</xm:f>
          </x14:formula1>
          <xm:sqref>C5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F39AD-F2C0-40E0-A523-D33828F971AA}">
  <sheetPr>
    <tabColor theme="8" tint="0.59999389629810485"/>
  </sheetPr>
  <dimension ref="B1:G14"/>
  <sheetViews>
    <sheetView showGridLines="0" topLeftCell="A15" zoomScaleNormal="100" workbookViewId="0">
      <selection activeCell="A24" sqref="A24:XFD1048576"/>
    </sheetView>
  </sheetViews>
  <sheetFormatPr defaultColWidth="9.140625" defaultRowHeight="20.100000000000001" customHeight="1"/>
  <cols>
    <col min="1" max="1" width="1.42578125" customWidth="1"/>
    <col min="2" max="2" width="27.140625" style="6" bestFit="1" customWidth="1"/>
    <col min="3" max="3" width="41.28515625" style="7" customWidth="1"/>
    <col min="4" max="4" width="16.7109375" style="8" bestFit="1" customWidth="1"/>
    <col min="5" max="5" width="15" style="9" bestFit="1" customWidth="1"/>
    <col min="6" max="6" width="15.85546875" style="9" bestFit="1" customWidth="1"/>
    <col min="7" max="7" width="13.5703125" style="10" customWidth="1"/>
    <col min="8" max="8" width="5.28515625" bestFit="1" customWidth="1"/>
    <col min="9" max="9" width="18" customWidth="1"/>
  </cols>
  <sheetData>
    <row r="1" spans="2:7" ht="15">
      <c r="B1"/>
      <c r="C1"/>
      <c r="D1"/>
      <c r="E1"/>
      <c r="F1"/>
      <c r="G1"/>
    </row>
    <row r="2" spans="2:7" ht="18.75">
      <c r="B2" s="175" t="s">
        <v>130</v>
      </c>
      <c r="C2" s="175"/>
      <c r="D2" s="175"/>
      <c r="E2" s="175"/>
      <c r="F2"/>
      <c r="G2"/>
    </row>
    <row r="3" spans="2:7" ht="21" customHeight="1">
      <c r="B3" s="2"/>
      <c r="C3" s="4"/>
      <c r="D3" s="4"/>
      <c r="E3" s="1"/>
      <c r="F3"/>
      <c r="G3"/>
    </row>
    <row r="4" spans="2:7" ht="20.100000000000001" customHeight="1">
      <c r="B4" s="27" t="s">
        <v>50</v>
      </c>
      <c r="C4" s="28" t="s">
        <v>51</v>
      </c>
    </row>
    <row r="5" spans="2:7" ht="105.75" customHeight="1">
      <c r="B5" s="97" t="s">
        <v>47</v>
      </c>
      <c r="C5" s="48" t="s">
        <v>53</v>
      </c>
      <c r="D5"/>
    </row>
    <row r="6" spans="2:7" ht="100.5" customHeight="1">
      <c r="B6" s="97" t="s">
        <v>48</v>
      </c>
      <c r="C6" s="48" t="s">
        <v>54</v>
      </c>
      <c r="D6"/>
    </row>
    <row r="7" spans="2:7" ht="114.75" customHeight="1">
      <c r="B7" s="97" t="s">
        <v>49</v>
      </c>
      <c r="C7" s="48" t="s">
        <v>55</v>
      </c>
      <c r="D7"/>
    </row>
    <row r="8" spans="2:7" ht="51.95" customHeight="1">
      <c r="B8" s="97" t="s">
        <v>7</v>
      </c>
      <c r="C8" s="71" t="s">
        <v>310</v>
      </c>
      <c r="D8"/>
    </row>
    <row r="9" spans="2:7" ht="73.5" customHeight="1">
      <c r="B9" s="97" t="s">
        <v>204</v>
      </c>
      <c r="C9" s="71" t="s">
        <v>309</v>
      </c>
      <c r="D9"/>
    </row>
    <row r="10" spans="2:7" ht="50.1" customHeight="1">
      <c r="B10" s="97"/>
      <c r="C10" s="48"/>
      <c r="D10"/>
    </row>
    <row r="11" spans="2:7" ht="50.1" customHeight="1">
      <c r="B11" s="97"/>
      <c r="C11" s="48"/>
      <c r="D11"/>
    </row>
    <row r="12" spans="2:7" ht="50.1" customHeight="1">
      <c r="B12" s="97"/>
      <c r="C12" s="48"/>
      <c r="D12"/>
    </row>
    <row r="13" spans="2:7" ht="50.1" customHeight="1">
      <c r="B13" s="97"/>
      <c r="C13" s="48"/>
      <c r="D13"/>
    </row>
    <row r="14" spans="2:7" ht="50.1" customHeight="1">
      <c r="B14" s="98"/>
      <c r="C14" s="49"/>
      <c r="D14"/>
    </row>
  </sheetData>
  <mergeCells count="1">
    <mergeCell ref="B2:E2"/>
  </mergeCells>
  <dataValidations count="1">
    <dataValidation allowBlank="1" showErrorMessage="1" sqref="B4:C14" xr:uid="{2F191C78-E49C-4D89-A5BE-6F5B5AEF09E4}"/>
  </dataValidations>
  <printOptions horizontalCentered="1"/>
  <pageMargins left="0.25" right="0.25" top="0.5" bottom="0.5" header="0.5" footer="0.5"/>
  <pageSetup paperSize="9" scale="60" orientation="portrait" r:id="rId1"/>
  <headerFooter differentFirst="1" alignWithMargins="0">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2B6D4-2B04-4C10-BDF4-2CDA5482EF55}">
  <sheetPr>
    <tabColor theme="8" tint="0.59999389629810485"/>
  </sheetPr>
  <dimension ref="B1:N17"/>
  <sheetViews>
    <sheetView showGridLines="0" topLeftCell="A15" zoomScaleNormal="100" workbookViewId="0">
      <selection activeCell="A26" sqref="A26:XFD1048576"/>
    </sheetView>
  </sheetViews>
  <sheetFormatPr defaultColWidth="9.140625" defaultRowHeight="20.100000000000001" customHeight="1"/>
  <cols>
    <col min="1" max="1" width="1.42578125" customWidth="1"/>
    <col min="2" max="2" width="27.140625" style="6" bestFit="1" customWidth="1"/>
    <col min="3" max="5" width="16.5703125" style="7" customWidth="1"/>
    <col min="6" max="6" width="18" style="5" bestFit="1" customWidth="1"/>
    <col min="7" max="7" width="16.7109375" style="8" bestFit="1" customWidth="1"/>
    <col min="8" max="8" width="15" style="9" bestFit="1" customWidth="1"/>
    <col min="9" max="12" width="15" style="9" customWidth="1"/>
    <col min="13" max="13" width="15.85546875" style="9" bestFit="1" customWidth="1"/>
    <col min="14" max="14" width="13.5703125" style="10" customWidth="1"/>
    <col min="15" max="15" width="13" customWidth="1"/>
    <col min="16" max="16" width="18" customWidth="1"/>
  </cols>
  <sheetData>
    <row r="1" spans="2:14" ht="16.5" customHeight="1">
      <c r="B1" s="67"/>
      <c r="C1" s="68"/>
      <c r="D1" s="69"/>
      <c r="E1"/>
      <c r="F1"/>
      <c r="G1"/>
      <c r="H1"/>
      <c r="I1"/>
      <c r="J1"/>
      <c r="K1"/>
      <c r="L1"/>
      <c r="M1"/>
      <c r="N1"/>
    </row>
    <row r="2" spans="2:14" ht="18.75">
      <c r="B2" s="102" t="s">
        <v>45</v>
      </c>
      <c r="C2" s="118"/>
      <c r="D2" s="124" t="s">
        <v>286</v>
      </c>
      <c r="E2" s="125" t="s">
        <v>287</v>
      </c>
      <c r="F2" s="125" t="s">
        <v>288</v>
      </c>
      <c r="G2" s="125" t="s">
        <v>289</v>
      </c>
      <c r="H2" s="125" t="s">
        <v>290</v>
      </c>
      <c r="I2" s="125" t="s">
        <v>291</v>
      </c>
      <c r="J2" s="125" t="s">
        <v>292</v>
      </c>
      <c r="K2" s="125" t="s">
        <v>293</v>
      </c>
      <c r="L2" s="126" t="s">
        <v>294</v>
      </c>
      <c r="M2"/>
      <c r="N2"/>
    </row>
    <row r="3" spans="2:14" ht="18.75">
      <c r="B3" s="114"/>
      <c r="C3" s="123" t="s">
        <v>284</v>
      </c>
      <c r="D3" s="119">
        <v>3.1</v>
      </c>
      <c r="E3" s="120">
        <v>2.7</v>
      </c>
      <c r="F3" s="120">
        <v>3.7</v>
      </c>
      <c r="G3" s="120">
        <v>3.6</v>
      </c>
      <c r="H3" s="120">
        <v>3.4</v>
      </c>
      <c r="I3" s="121"/>
      <c r="J3" s="121"/>
      <c r="K3" s="121"/>
      <c r="L3" s="122"/>
      <c r="M3" s="115"/>
      <c r="N3"/>
    </row>
    <row r="4" spans="2:14" ht="21" customHeight="1">
      <c r="B4" s="114"/>
      <c r="C4" s="115"/>
      <c r="D4" s="116"/>
      <c r="E4" s="116"/>
      <c r="F4" s="116"/>
      <c r="G4" s="116"/>
      <c r="H4" s="116"/>
      <c r="I4" s="116"/>
      <c r="J4" s="116"/>
      <c r="K4" s="116"/>
      <c r="L4" s="116"/>
      <c r="M4" s="115"/>
      <c r="N4"/>
    </row>
    <row r="5" spans="2:14" ht="20.100000000000001" customHeight="1">
      <c r="B5" s="135" t="s">
        <v>134</v>
      </c>
      <c r="C5" s="137" t="s">
        <v>131</v>
      </c>
      <c r="D5" s="134" t="s">
        <v>132</v>
      </c>
      <c r="E5" s="134" t="s">
        <v>133</v>
      </c>
      <c r="F5" s="134" t="s">
        <v>222</v>
      </c>
      <c r="G5" s="134" t="s">
        <v>236</v>
      </c>
      <c r="H5" s="134" t="s">
        <v>237</v>
      </c>
      <c r="I5" s="134" t="s">
        <v>239</v>
      </c>
      <c r="J5" s="134" t="s">
        <v>238</v>
      </c>
      <c r="K5" s="134" t="s">
        <v>240</v>
      </c>
      <c r="L5" s="136" t="s">
        <v>241</v>
      </c>
      <c r="M5" s="136" t="s">
        <v>41</v>
      </c>
      <c r="N5"/>
    </row>
    <row r="6" spans="2:14" ht="20.100000000000001" customHeight="1">
      <c r="B6" s="131">
        <v>2021</v>
      </c>
      <c r="C6" s="141">
        <v>1</v>
      </c>
      <c r="D6" s="127">
        <f>C6*(1+(D$3/100))</f>
        <v>1.0309999999999999</v>
      </c>
      <c r="E6" s="127">
        <f>D6*(1+(E$3/100))</f>
        <v>1.0588369999999998</v>
      </c>
      <c r="F6" s="127">
        <f>E6*(1+(F$3/100))</f>
        <v>1.0980139689999997</v>
      </c>
      <c r="G6" s="127">
        <f>F6*(1+(G$3/100))</f>
        <v>1.1375424718839997</v>
      </c>
      <c r="H6" s="127">
        <f>G6*(1+(H$3/100))</f>
        <v>1.1762189159280558</v>
      </c>
      <c r="I6" s="127" t="str">
        <f t="shared" ref="I6:L11" si="0">IF(I$3="","",H6*(1+(I$3/100)))</f>
        <v/>
      </c>
      <c r="J6" s="127" t="str">
        <f t="shared" si="0"/>
        <v/>
      </c>
      <c r="K6" s="127" t="str">
        <f t="shared" si="0"/>
        <v/>
      </c>
      <c r="L6" s="128" t="str">
        <f t="shared" si="0"/>
        <v/>
      </c>
      <c r="M6" s="138" t="s">
        <v>285</v>
      </c>
      <c r="N6"/>
    </row>
    <row r="7" spans="2:14" ht="20.100000000000001" customHeight="1">
      <c r="B7" s="132">
        <v>2022</v>
      </c>
      <c r="C7" s="142">
        <f>D7/(1+(D$3/100))</f>
        <v>0.96993210475266745</v>
      </c>
      <c r="D7" s="141">
        <v>1</v>
      </c>
      <c r="E7" s="117">
        <f>D7*(1+(E$3/100))</f>
        <v>1.0269999999999999</v>
      </c>
      <c r="F7" s="117">
        <f>E7*(1+(F$3/100))</f>
        <v>1.0649989999999998</v>
      </c>
      <c r="G7" s="117">
        <f>F7*(1+(G$3/100))</f>
        <v>1.1033389639999998</v>
      </c>
      <c r="H7" s="117">
        <f>G7*(1+(H$3/100))</f>
        <v>1.1408524887759999</v>
      </c>
      <c r="I7" s="117" t="str">
        <f t="shared" si="0"/>
        <v/>
      </c>
      <c r="J7" s="117" t="str">
        <f t="shared" si="0"/>
        <v/>
      </c>
      <c r="K7" s="117" t="str">
        <f t="shared" si="0"/>
        <v/>
      </c>
      <c r="L7" s="129" t="str">
        <f t="shared" si="0"/>
        <v/>
      </c>
      <c r="M7" s="139" t="s">
        <v>285</v>
      </c>
      <c r="N7"/>
    </row>
    <row r="8" spans="2:14" ht="20.100000000000001" customHeight="1">
      <c r="B8" s="132">
        <v>2023</v>
      </c>
      <c r="C8" s="142">
        <f>D8/(1+(D$3/100))</f>
        <v>0.94443242916520687</v>
      </c>
      <c r="D8" s="117">
        <f>E8/(1+(E$3/100))</f>
        <v>0.97370983446932824</v>
      </c>
      <c r="E8" s="141">
        <v>1</v>
      </c>
      <c r="F8" s="117">
        <f>E8*(1+(F$3/100))</f>
        <v>1.0369999999999999</v>
      </c>
      <c r="G8" s="117">
        <f>F8*(1+(G$3/100))</f>
        <v>1.0743319999999998</v>
      </c>
      <c r="H8" s="117">
        <f>G8*(1+(H$3/100))</f>
        <v>1.1108592879999999</v>
      </c>
      <c r="I8" s="117" t="str">
        <f t="shared" si="0"/>
        <v/>
      </c>
      <c r="J8" s="117" t="str">
        <f t="shared" si="0"/>
        <v/>
      </c>
      <c r="K8" s="117" t="str">
        <f t="shared" si="0"/>
        <v/>
      </c>
      <c r="L8" s="129" t="str">
        <f t="shared" si="0"/>
        <v/>
      </c>
      <c r="M8" s="139" t="s">
        <v>285</v>
      </c>
      <c r="N8"/>
    </row>
    <row r="9" spans="2:14" ht="20.100000000000001" customHeight="1">
      <c r="B9" s="132">
        <v>2024</v>
      </c>
      <c r="C9" s="142">
        <f>D9/(1+(D$3/100))</f>
        <v>0.91073522581022859</v>
      </c>
      <c r="D9" s="117">
        <f>E9/(1+(E$3/100))</f>
        <v>0.93896801781034556</v>
      </c>
      <c r="E9" s="117">
        <f>F9/(1+(F$3/100))</f>
        <v>0.96432015429122475</v>
      </c>
      <c r="F9" s="141">
        <v>1</v>
      </c>
      <c r="G9" s="117">
        <f>F9*(1+(G$3/100))</f>
        <v>1.036</v>
      </c>
      <c r="H9" s="117">
        <f>G9*(1+(H$3/100))</f>
        <v>1.071224</v>
      </c>
      <c r="I9" s="117" t="str">
        <f t="shared" si="0"/>
        <v/>
      </c>
      <c r="J9" s="117" t="str">
        <f t="shared" si="0"/>
        <v/>
      </c>
      <c r="K9" s="117" t="str">
        <f t="shared" si="0"/>
        <v/>
      </c>
      <c r="L9" s="129" t="str">
        <f t="shared" si="0"/>
        <v/>
      </c>
      <c r="M9" s="139" t="s">
        <v>285</v>
      </c>
      <c r="N9"/>
    </row>
    <row r="10" spans="2:14" ht="20.100000000000001" customHeight="1">
      <c r="B10" s="132">
        <v>2025</v>
      </c>
      <c r="C10" s="142">
        <f>D10/(1+(D$3/100))</f>
        <v>0.87908805580137883</v>
      </c>
      <c r="D10" s="117">
        <f>E10/(1+(E$3/100))</f>
        <v>0.90633978553122152</v>
      </c>
      <c r="E10" s="117">
        <f>F10/(1+(F$3/100))</f>
        <v>0.93081095974056438</v>
      </c>
      <c r="F10" s="117">
        <f>G10/(1+(G$3/100))</f>
        <v>0.96525096525096521</v>
      </c>
      <c r="G10" s="141">
        <v>1</v>
      </c>
      <c r="H10" s="117">
        <f>G10*(1+(H$3/100))</f>
        <v>1.034</v>
      </c>
      <c r="I10" s="117" t="str">
        <f t="shared" si="0"/>
        <v/>
      </c>
      <c r="J10" s="117" t="str">
        <f t="shared" si="0"/>
        <v/>
      </c>
      <c r="K10" s="117" t="str">
        <f t="shared" si="0"/>
        <v/>
      </c>
      <c r="L10" s="129" t="str">
        <f t="shared" si="0"/>
        <v/>
      </c>
      <c r="M10" s="139" t="s">
        <v>285</v>
      </c>
      <c r="N10"/>
    </row>
    <row r="11" spans="2:14" ht="20.100000000000001" customHeight="1">
      <c r="B11" s="132">
        <v>2026</v>
      </c>
      <c r="C11" s="142">
        <f>D11/(1+(D$3/100))</f>
        <v>0.8501818721483354</v>
      </c>
      <c r="D11" s="117">
        <f>E11/(1+(E$3/100))</f>
        <v>0.87653751018493375</v>
      </c>
      <c r="E11" s="117">
        <f>F11/(1+(F$3/100))</f>
        <v>0.90020402295992685</v>
      </c>
      <c r="F11" s="117">
        <f>G11/(1+(G$3/100))</f>
        <v>0.93351157180944411</v>
      </c>
      <c r="G11" s="117">
        <f>H11/(1+(H$3/100))</f>
        <v>0.96711798839458407</v>
      </c>
      <c r="H11" s="141">
        <v>1</v>
      </c>
      <c r="I11" s="117" t="str">
        <f t="shared" si="0"/>
        <v/>
      </c>
      <c r="J11" s="117" t="str">
        <f t="shared" si="0"/>
        <v/>
      </c>
      <c r="K11" s="117" t="str">
        <f t="shared" si="0"/>
        <v/>
      </c>
      <c r="L11" s="129" t="str">
        <f t="shared" si="0"/>
        <v/>
      </c>
      <c r="M11" s="139" t="s">
        <v>285</v>
      </c>
      <c r="N11"/>
    </row>
    <row r="12" spans="2:14" ht="20.100000000000001" customHeight="1">
      <c r="B12" s="132">
        <v>2027</v>
      </c>
      <c r="C12" s="142" t="str">
        <f>IFERROR(D12/(1+(D$3/100)),"")</f>
        <v/>
      </c>
      <c r="D12" s="117" t="str">
        <f t="shared" ref="D12:H12" si="1">IFERROR(E12/(1+(E$3/100)),"")</f>
        <v/>
      </c>
      <c r="E12" s="117" t="str">
        <f t="shared" si="1"/>
        <v/>
      </c>
      <c r="F12" s="117" t="str">
        <f t="shared" si="1"/>
        <v/>
      </c>
      <c r="G12" s="117" t="str">
        <f t="shared" si="1"/>
        <v/>
      </c>
      <c r="H12" s="117" t="str">
        <f t="shared" si="1"/>
        <v/>
      </c>
      <c r="I12" s="141" t="str">
        <f>IF(I$3="","",1)</f>
        <v/>
      </c>
      <c r="J12" s="117" t="str">
        <f>IF(J$3="","",I12*(1+(J$3/100)))</f>
        <v/>
      </c>
      <c r="K12" s="117" t="str">
        <f>IF(K$3="","",J12*(1+(K$3/100)))</f>
        <v/>
      </c>
      <c r="L12" s="129" t="str">
        <f>IF(L$3="","",K12*(1+(L$3/100)))</f>
        <v/>
      </c>
      <c r="M12" s="139" t="s">
        <v>285</v>
      </c>
      <c r="N12"/>
    </row>
    <row r="13" spans="2:14" ht="20.100000000000001" customHeight="1">
      <c r="B13" s="132">
        <v>2028</v>
      </c>
      <c r="C13" s="142" t="str">
        <f t="shared" ref="C13:K15" si="2">IFERROR(D13/(1+(D$3/100)),"")</f>
        <v/>
      </c>
      <c r="D13" s="117" t="str">
        <f t="shared" si="2"/>
        <v/>
      </c>
      <c r="E13" s="117" t="str">
        <f t="shared" si="2"/>
        <v/>
      </c>
      <c r="F13" s="117" t="str">
        <f t="shared" si="2"/>
        <v/>
      </c>
      <c r="G13" s="117" t="str">
        <f t="shared" si="2"/>
        <v/>
      </c>
      <c r="H13" s="117" t="str">
        <f t="shared" si="2"/>
        <v/>
      </c>
      <c r="I13" s="117" t="str">
        <f t="shared" si="2"/>
        <v/>
      </c>
      <c r="J13" s="141" t="str">
        <f>IF(J$3="","",1)</f>
        <v/>
      </c>
      <c r="K13" s="117" t="str">
        <f>IF(K$3="","",J13*(1+(K$3/100)))</f>
        <v/>
      </c>
      <c r="L13" s="129" t="str">
        <f>IF(L$3="","",K13*(1+(L$3/100)))</f>
        <v/>
      </c>
      <c r="M13" s="139" t="s">
        <v>285</v>
      </c>
      <c r="N13"/>
    </row>
    <row r="14" spans="2:14" ht="20.100000000000001" customHeight="1">
      <c r="B14" s="132">
        <v>2029</v>
      </c>
      <c r="C14" s="142" t="str">
        <f t="shared" ref="C14:G14" si="3">IFERROR(D14/(1+(D$3/100)),"")</f>
        <v/>
      </c>
      <c r="D14" s="117" t="str">
        <f t="shared" si="3"/>
        <v/>
      </c>
      <c r="E14" s="117" t="str">
        <f t="shared" si="3"/>
        <v/>
      </c>
      <c r="F14" s="117" t="str">
        <f t="shared" si="3"/>
        <v/>
      </c>
      <c r="G14" s="117" t="str">
        <f t="shared" si="3"/>
        <v/>
      </c>
      <c r="H14" s="117" t="str">
        <f t="shared" si="2"/>
        <v/>
      </c>
      <c r="I14" s="117" t="str">
        <f t="shared" si="2"/>
        <v/>
      </c>
      <c r="J14" s="117" t="str">
        <f t="shared" si="2"/>
        <v/>
      </c>
      <c r="K14" s="141" t="str">
        <f>IF(K$3="","",1)</f>
        <v/>
      </c>
      <c r="L14" s="129" t="str">
        <f>IF(L$3="","",K14*(1+(L$3/100)))</f>
        <v/>
      </c>
      <c r="M14" s="139" t="s">
        <v>285</v>
      </c>
      <c r="N14"/>
    </row>
    <row r="15" spans="2:14" ht="20.100000000000001" customHeight="1">
      <c r="B15" s="133">
        <v>2030</v>
      </c>
      <c r="C15" s="143" t="str">
        <f t="shared" ref="C15:F15" si="4">IFERROR(D15/(1+(D$3/100)),"")</f>
        <v/>
      </c>
      <c r="D15" s="130" t="str">
        <f t="shared" si="4"/>
        <v/>
      </c>
      <c r="E15" s="130" t="str">
        <f t="shared" si="4"/>
        <v/>
      </c>
      <c r="F15" s="130" t="str">
        <f t="shared" si="4"/>
        <v/>
      </c>
      <c r="G15" s="130" t="str">
        <f t="shared" si="2"/>
        <v/>
      </c>
      <c r="H15" s="130" t="str">
        <f t="shared" si="2"/>
        <v/>
      </c>
      <c r="I15" s="130" t="str">
        <f t="shared" si="2"/>
        <v/>
      </c>
      <c r="J15" s="130" t="str">
        <f t="shared" si="2"/>
        <v/>
      </c>
      <c r="K15" s="130" t="str">
        <f t="shared" si="2"/>
        <v/>
      </c>
      <c r="L15" s="141" t="str">
        <f>IF(L$3="","",1)</f>
        <v/>
      </c>
      <c r="M15" s="140" t="s">
        <v>285</v>
      </c>
      <c r="N15"/>
    </row>
    <row r="16" spans="2:14" ht="20.100000000000001" customHeight="1">
      <c r="B16" s="144" t="s">
        <v>295</v>
      </c>
      <c r="N16"/>
    </row>
    <row r="17" spans="14:14" ht="20.100000000000001" customHeight="1">
      <c r="N17"/>
    </row>
  </sheetData>
  <phoneticPr fontId="4" type="noConversion"/>
  <dataValidations count="1">
    <dataValidation allowBlank="1" showErrorMessage="1" sqref="B1:C1 B5:M15" xr:uid="{B382040E-F8EC-4444-9ABE-8B50FD24FF43}"/>
  </dataValidations>
  <printOptions horizontalCentered="1"/>
  <pageMargins left="0.25" right="0.25" top="0.5" bottom="0.5" header="0.5" footer="0.5"/>
  <pageSetup paperSize="9" scale="60" orientation="portrait" r:id="rId1"/>
  <headerFooter differentFirst="1" alignWithMargins="0">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69437-683D-41C0-BD43-EFAA9DF63337}">
  <sheetPr>
    <tabColor theme="8" tint="0.59999389629810485"/>
  </sheetPr>
  <dimension ref="B1:J81"/>
  <sheetViews>
    <sheetView showGridLines="0" topLeftCell="A78" zoomScaleNormal="100" workbookViewId="0">
      <selection activeCell="A89" sqref="A89:XFD1048576"/>
    </sheetView>
  </sheetViews>
  <sheetFormatPr defaultColWidth="9.140625" defaultRowHeight="20.100000000000001" customHeight="1"/>
  <cols>
    <col min="1" max="1" width="1.42578125" customWidth="1"/>
    <col min="2" max="2" width="30.5703125" style="6" customWidth="1"/>
    <col min="3" max="3" width="75.42578125" style="7" customWidth="1"/>
    <col min="4" max="4" width="38.28515625" style="5" customWidth="1"/>
    <col min="5" max="5" width="42.140625" style="8" customWidth="1"/>
    <col min="6" max="6" width="15" style="9" bestFit="1" customWidth="1"/>
    <col min="7" max="7" width="15.85546875" style="9" bestFit="1" customWidth="1"/>
    <col min="8" max="8" width="13.5703125" style="10" customWidth="1"/>
    <col min="9" max="9" width="5.28515625" bestFit="1" customWidth="1"/>
    <col min="10" max="10" width="18" customWidth="1"/>
  </cols>
  <sheetData>
    <row r="1" spans="2:10" ht="15">
      <c r="B1"/>
      <c r="C1"/>
      <c r="D1"/>
      <c r="E1"/>
      <c r="F1" t="s">
        <v>273</v>
      </c>
      <c r="G1">
        <v>40</v>
      </c>
      <c r="H1" t="s">
        <v>274</v>
      </c>
      <c r="I1" s="103">
        <v>0.98</v>
      </c>
      <c r="J1" s="103">
        <v>0.93</v>
      </c>
    </row>
    <row r="2" spans="2:10" ht="18.75">
      <c r="B2" s="175" t="s">
        <v>57</v>
      </c>
      <c r="C2" s="175"/>
      <c r="D2" s="175"/>
      <c r="E2" s="175"/>
      <c r="F2" s="175"/>
      <c r="G2">
        <v>1500</v>
      </c>
      <c r="H2" t="s">
        <v>272</v>
      </c>
    </row>
    <row r="3" spans="2:10" ht="21" customHeight="1">
      <c r="B3" s="2"/>
      <c r="C3" s="4"/>
      <c r="D3" s="4"/>
      <c r="E3" s="4"/>
      <c r="F3" s="1"/>
      <c r="G3"/>
      <c r="H3"/>
    </row>
    <row r="4" spans="2:10" ht="31.5">
      <c r="B4" s="92" t="s">
        <v>59</v>
      </c>
      <c r="C4" s="93" t="s">
        <v>60</v>
      </c>
      <c r="D4" s="93" t="s">
        <v>61</v>
      </c>
      <c r="E4" s="93" t="s">
        <v>62</v>
      </c>
      <c r="F4" s="9" t="s">
        <v>275</v>
      </c>
    </row>
    <row r="5" spans="2:10" ht="15.75">
      <c r="B5" s="94" t="s">
        <v>63</v>
      </c>
      <c r="C5" s="95"/>
      <c r="D5" s="95"/>
      <c r="E5" s="95"/>
    </row>
    <row r="6" spans="2:10" ht="38.25">
      <c r="B6" s="72" t="s">
        <v>64</v>
      </c>
      <c r="C6" s="72" t="s">
        <v>140</v>
      </c>
      <c r="D6" s="72" t="s">
        <v>141</v>
      </c>
      <c r="E6" s="72" t="s">
        <v>142</v>
      </c>
    </row>
    <row r="7" spans="2:10" ht="38.25">
      <c r="B7" s="72" t="s">
        <v>225</v>
      </c>
      <c r="C7" s="72" t="s">
        <v>226</v>
      </c>
      <c r="D7" s="72" t="s">
        <v>141</v>
      </c>
      <c r="E7" s="72" t="s">
        <v>142</v>
      </c>
    </row>
    <row r="8" spans="2:10" ht="38.25">
      <c r="B8" s="72" t="s">
        <v>269</v>
      </c>
      <c r="C8" s="72" t="s">
        <v>227</v>
      </c>
      <c r="D8" s="72" t="s">
        <v>141</v>
      </c>
      <c r="E8" s="72" t="s">
        <v>142</v>
      </c>
    </row>
    <row r="9" spans="2:10" ht="38.25">
      <c r="B9" s="72" t="s">
        <v>228</v>
      </c>
      <c r="C9" s="72" t="s">
        <v>229</v>
      </c>
      <c r="D9" s="72" t="s">
        <v>141</v>
      </c>
      <c r="E9" s="72" t="s">
        <v>142</v>
      </c>
    </row>
    <row r="10" spans="2:10" ht="15.75">
      <c r="B10" s="72" t="s">
        <v>65</v>
      </c>
      <c r="C10" s="72" t="s">
        <v>66</v>
      </c>
      <c r="D10" s="72" t="s">
        <v>67</v>
      </c>
      <c r="E10" s="72"/>
    </row>
    <row r="11" spans="2:10" ht="25.5">
      <c r="B11" s="72" t="s">
        <v>68</v>
      </c>
      <c r="C11" s="72" t="s">
        <v>69</v>
      </c>
      <c r="D11" s="72" t="s">
        <v>70</v>
      </c>
      <c r="E11" s="72"/>
    </row>
    <row r="12" spans="2:10" ht="15.75">
      <c r="B12" s="72" t="s">
        <v>230</v>
      </c>
      <c r="C12" s="72" t="s">
        <v>71</v>
      </c>
      <c r="D12" s="72" t="s">
        <v>72</v>
      </c>
      <c r="E12" s="72"/>
    </row>
    <row r="13" spans="2:10" ht="25.5">
      <c r="B13" s="72" t="s">
        <v>119</v>
      </c>
      <c r="C13" s="72" t="s">
        <v>120</v>
      </c>
      <c r="D13" s="72" t="s">
        <v>86</v>
      </c>
      <c r="E13" s="73"/>
    </row>
    <row r="14" spans="2:10" ht="25.5">
      <c r="B14" s="94" t="s">
        <v>73</v>
      </c>
      <c r="C14" s="96"/>
      <c r="D14" s="96"/>
      <c r="E14" s="96"/>
    </row>
    <row r="15" spans="2:10" ht="25.5">
      <c r="B15" s="72" t="s">
        <v>74</v>
      </c>
      <c r="C15" s="72" t="s">
        <v>143</v>
      </c>
      <c r="D15" s="72" t="s">
        <v>144</v>
      </c>
      <c r="E15" s="72"/>
    </row>
    <row r="16" spans="2:10" ht="25.5">
      <c r="B16" s="72" t="s">
        <v>145</v>
      </c>
      <c r="C16" s="72" t="s">
        <v>146</v>
      </c>
      <c r="D16" s="72" t="s">
        <v>147</v>
      </c>
      <c r="E16" s="72"/>
    </row>
    <row r="17" spans="2:5" ht="25.5">
      <c r="B17" s="72" t="s">
        <v>75</v>
      </c>
      <c r="C17" s="72" t="s">
        <v>76</v>
      </c>
      <c r="D17" s="72" t="s">
        <v>77</v>
      </c>
      <c r="E17" s="72"/>
    </row>
    <row r="18" spans="2:5" ht="25.5">
      <c r="B18" s="72" t="s">
        <v>78</v>
      </c>
      <c r="C18" s="72" t="s">
        <v>79</v>
      </c>
      <c r="D18" s="72" t="s">
        <v>80</v>
      </c>
      <c r="E18" s="72"/>
    </row>
    <row r="19" spans="2:5" ht="38.25">
      <c r="B19" s="72" t="s">
        <v>81</v>
      </c>
      <c r="C19" s="72" t="s">
        <v>148</v>
      </c>
      <c r="D19" s="72" t="s">
        <v>82</v>
      </c>
      <c r="E19" s="72" t="s">
        <v>83</v>
      </c>
    </row>
    <row r="20" spans="2:5" ht="15.75">
      <c r="B20" s="72" t="s">
        <v>149</v>
      </c>
      <c r="C20" s="72" t="s">
        <v>150</v>
      </c>
      <c r="D20" s="72" t="s">
        <v>67</v>
      </c>
      <c r="E20" s="72" t="s">
        <v>151</v>
      </c>
    </row>
    <row r="21" spans="2:5" ht="15.75">
      <c r="B21" s="72" t="s">
        <v>152</v>
      </c>
      <c r="C21" s="72" t="s">
        <v>153</v>
      </c>
      <c r="D21" s="72" t="s">
        <v>67</v>
      </c>
      <c r="E21" s="72" t="s">
        <v>151</v>
      </c>
    </row>
    <row r="22" spans="2:5" ht="15.75">
      <c r="B22" s="72" t="s">
        <v>154</v>
      </c>
      <c r="C22" s="72" t="s">
        <v>155</v>
      </c>
      <c r="D22" s="72" t="s">
        <v>67</v>
      </c>
      <c r="E22" s="72" t="s">
        <v>151</v>
      </c>
    </row>
    <row r="23" spans="2:5" ht="15.75">
      <c r="B23" s="72" t="s">
        <v>156</v>
      </c>
      <c r="C23" s="72" t="s">
        <v>157</v>
      </c>
      <c r="D23" s="72" t="s">
        <v>67</v>
      </c>
      <c r="E23" s="72" t="s">
        <v>151</v>
      </c>
    </row>
    <row r="24" spans="2:5" ht="25.5">
      <c r="B24" s="72" t="s">
        <v>114</v>
      </c>
      <c r="C24" s="72" t="s">
        <v>115</v>
      </c>
      <c r="D24" s="72" t="s">
        <v>116</v>
      </c>
      <c r="E24" s="73"/>
    </row>
    <row r="25" spans="2:5" ht="15.75">
      <c r="B25" s="94" t="s">
        <v>158</v>
      </c>
      <c r="C25" s="96"/>
      <c r="D25" s="96"/>
      <c r="E25" s="96"/>
    </row>
    <row r="26" spans="2:5" ht="15.75">
      <c r="B26" s="72" t="s">
        <v>84</v>
      </c>
      <c r="C26" s="72" t="s">
        <v>85</v>
      </c>
      <c r="D26" s="72" t="s">
        <v>86</v>
      </c>
      <c r="E26" s="72"/>
    </row>
    <row r="27" spans="2:5" ht="15.75">
      <c r="B27" s="72" t="s">
        <v>87</v>
      </c>
      <c r="C27" s="72" t="s">
        <v>88</v>
      </c>
      <c r="D27" s="72" t="s">
        <v>86</v>
      </c>
      <c r="E27" s="72"/>
    </row>
    <row r="28" spans="2:5" ht="15.75">
      <c r="B28" s="72" t="s">
        <v>89</v>
      </c>
      <c r="C28" s="72" t="s">
        <v>90</v>
      </c>
      <c r="D28" s="72" t="s">
        <v>86</v>
      </c>
      <c r="E28" s="72"/>
    </row>
    <row r="29" spans="2:5" ht="15.75">
      <c r="B29" s="72" t="s">
        <v>91</v>
      </c>
      <c r="C29" s="72" t="s">
        <v>92</v>
      </c>
      <c r="D29" s="72" t="s">
        <v>86</v>
      </c>
      <c r="E29" s="72"/>
    </row>
    <row r="30" spans="2:5" ht="15.75">
      <c r="B30" s="72" t="s">
        <v>93</v>
      </c>
      <c r="C30" s="72" t="s">
        <v>94</v>
      </c>
      <c r="D30" s="72" t="s">
        <v>86</v>
      </c>
      <c r="E30" s="72"/>
    </row>
    <row r="31" spans="2:5" ht="25.5">
      <c r="B31" s="72" t="s">
        <v>95</v>
      </c>
      <c r="C31" s="72" t="s">
        <v>96</v>
      </c>
      <c r="D31" s="72" t="s">
        <v>86</v>
      </c>
      <c r="E31" s="72"/>
    </row>
    <row r="32" spans="2:5" ht="15.75">
      <c r="B32" s="72" t="s">
        <v>159</v>
      </c>
      <c r="C32" s="72" t="s">
        <v>266</v>
      </c>
      <c r="D32" s="72" t="s">
        <v>86</v>
      </c>
      <c r="E32" s="72"/>
    </row>
    <row r="33" spans="2:5" ht="51">
      <c r="B33" s="72" t="s">
        <v>160</v>
      </c>
      <c r="C33" s="72" t="s">
        <v>267</v>
      </c>
      <c r="D33" s="72" t="s">
        <v>161</v>
      </c>
      <c r="E33" s="72" t="s">
        <v>162</v>
      </c>
    </row>
    <row r="34" spans="2:5" ht="15.75">
      <c r="B34" s="73" t="s">
        <v>163</v>
      </c>
      <c r="C34" s="73" t="s">
        <v>268</v>
      </c>
      <c r="D34" s="73"/>
      <c r="E34" s="73"/>
    </row>
    <row r="35" spans="2:5" ht="25.5">
      <c r="B35" s="94" t="s">
        <v>97</v>
      </c>
      <c r="C35" s="96"/>
      <c r="D35" s="96"/>
      <c r="E35" s="96"/>
    </row>
    <row r="36" spans="2:5" ht="15.75">
      <c r="B36" s="72" t="s">
        <v>98</v>
      </c>
      <c r="C36" s="72" t="s">
        <v>99</v>
      </c>
      <c r="D36" s="72" t="s">
        <v>86</v>
      </c>
      <c r="E36" s="72"/>
    </row>
    <row r="37" spans="2:5" ht="25.5">
      <c r="B37" s="72" t="s">
        <v>100</v>
      </c>
      <c r="C37" s="72" t="s">
        <v>164</v>
      </c>
      <c r="D37" s="72" t="s">
        <v>86</v>
      </c>
      <c r="E37" s="72"/>
    </row>
    <row r="38" spans="2:5" ht="38.25">
      <c r="B38" s="72" t="s">
        <v>101</v>
      </c>
      <c r="C38" s="72" t="s">
        <v>102</v>
      </c>
      <c r="D38" s="72" t="s">
        <v>86</v>
      </c>
      <c r="E38" s="72" t="s">
        <v>103</v>
      </c>
    </row>
    <row r="39" spans="2:5" ht="25.5">
      <c r="B39" s="72" t="s">
        <v>104</v>
      </c>
      <c r="C39" s="72" t="s">
        <v>105</v>
      </c>
      <c r="D39" s="72" t="s">
        <v>106</v>
      </c>
      <c r="E39" s="72"/>
    </row>
    <row r="40" spans="2:5" ht="15.75">
      <c r="B40" s="72" t="s">
        <v>107</v>
      </c>
      <c r="C40" s="72" t="s">
        <v>108</v>
      </c>
      <c r="D40" s="72" t="s">
        <v>86</v>
      </c>
      <c r="E40" s="72"/>
    </row>
    <row r="41" spans="2:5" ht="25.5">
      <c r="B41" s="72" t="s">
        <v>109</v>
      </c>
      <c r="C41" s="72" t="s">
        <v>110</v>
      </c>
      <c r="D41" s="72" t="s">
        <v>106</v>
      </c>
      <c r="E41" s="72"/>
    </row>
    <row r="42" spans="2:5" ht="15.75">
      <c r="B42" s="72" t="s">
        <v>265</v>
      </c>
      <c r="C42" s="72" t="s">
        <v>111</v>
      </c>
      <c r="D42" s="72" t="s">
        <v>106</v>
      </c>
      <c r="E42" s="72"/>
    </row>
    <row r="43" spans="2:5" ht="25.5">
      <c r="B43" s="72" t="s">
        <v>112</v>
      </c>
      <c r="C43" s="72" t="s">
        <v>113</v>
      </c>
      <c r="D43" s="72" t="s">
        <v>106</v>
      </c>
      <c r="E43" s="72"/>
    </row>
    <row r="44" spans="2:5" ht="25.5">
      <c r="B44" s="94" t="s">
        <v>165</v>
      </c>
      <c r="C44" s="96"/>
      <c r="D44" s="96"/>
      <c r="E44" s="96"/>
    </row>
    <row r="45" spans="2:5" ht="25.5">
      <c r="B45" s="72" t="s">
        <v>252</v>
      </c>
      <c r="C45" s="72" t="s">
        <v>254</v>
      </c>
      <c r="D45" s="72" t="s">
        <v>86</v>
      </c>
      <c r="E45" s="72"/>
    </row>
    <row r="46" spans="2:5" ht="15.75">
      <c r="B46" s="72" t="s">
        <v>253</v>
      </c>
      <c r="C46" s="72" t="s">
        <v>255</v>
      </c>
      <c r="D46" s="72" t="s">
        <v>86</v>
      </c>
      <c r="E46" s="72"/>
    </row>
    <row r="47" spans="2:5" ht="15.75">
      <c r="B47" s="72" t="s">
        <v>166</v>
      </c>
      <c r="C47" s="72" t="s">
        <v>256</v>
      </c>
      <c r="D47" s="72" t="s">
        <v>86</v>
      </c>
      <c r="E47" s="72"/>
    </row>
    <row r="48" spans="2:5" ht="15.75">
      <c r="B48" s="72" t="s">
        <v>167</v>
      </c>
      <c r="C48" s="72" t="s">
        <v>257</v>
      </c>
      <c r="D48" s="72" t="s">
        <v>86</v>
      </c>
      <c r="E48" s="72"/>
    </row>
    <row r="49" spans="2:5" ht="25.5">
      <c r="B49" s="72" t="s">
        <v>168</v>
      </c>
      <c r="C49" s="72" t="s">
        <v>258</v>
      </c>
      <c r="D49" s="72" t="s">
        <v>86</v>
      </c>
      <c r="E49" s="72"/>
    </row>
    <row r="50" spans="2:5" ht="15.75">
      <c r="B50" s="77" t="s">
        <v>125</v>
      </c>
      <c r="C50" s="77" t="s">
        <v>259</v>
      </c>
      <c r="D50" s="72" t="s">
        <v>86</v>
      </c>
      <c r="E50" s="72"/>
    </row>
    <row r="51" spans="2:5" ht="25.5">
      <c r="B51" s="94" t="s">
        <v>169</v>
      </c>
      <c r="C51" s="96"/>
      <c r="D51" s="96"/>
      <c r="E51" s="96"/>
    </row>
    <row r="52" spans="2:5" ht="25.5">
      <c r="B52" s="72" t="s">
        <v>170</v>
      </c>
      <c r="C52" s="72" t="s">
        <v>171</v>
      </c>
      <c r="D52" s="72" t="s">
        <v>172</v>
      </c>
      <c r="E52" s="72"/>
    </row>
    <row r="53" spans="2:5" ht="63.75">
      <c r="B53" s="74" t="s">
        <v>231</v>
      </c>
      <c r="C53" s="72" t="s">
        <v>173</v>
      </c>
      <c r="D53" s="72" t="s">
        <v>86</v>
      </c>
      <c r="E53" s="72" t="s">
        <v>174</v>
      </c>
    </row>
    <row r="54" spans="2:5" ht="15.75">
      <c r="B54" s="72" t="s">
        <v>117</v>
      </c>
      <c r="C54" s="72" t="s">
        <v>118</v>
      </c>
      <c r="D54" s="72" t="s">
        <v>86</v>
      </c>
      <c r="E54" s="72"/>
    </row>
    <row r="55" spans="2:5" ht="15.75">
      <c r="B55" s="72" t="s">
        <v>175</v>
      </c>
      <c r="C55" s="72" t="s">
        <v>176</v>
      </c>
      <c r="D55" s="72" t="s">
        <v>86</v>
      </c>
      <c r="E55" s="72"/>
    </row>
    <row r="56" spans="2:5" ht="15.75">
      <c r="B56" s="73" t="s">
        <v>264</v>
      </c>
      <c r="C56" s="77" t="s">
        <v>177</v>
      </c>
      <c r="D56" s="77"/>
      <c r="E56" s="72"/>
    </row>
    <row r="57" spans="2:5" ht="15.75">
      <c r="B57" s="72"/>
      <c r="C57" s="72"/>
      <c r="D57" s="72"/>
      <c r="E57" s="72"/>
    </row>
    <row r="58" spans="2:5" ht="15.75">
      <c r="B58" s="94" t="s">
        <v>121</v>
      </c>
      <c r="C58" s="96"/>
      <c r="D58" s="96"/>
      <c r="E58" s="96"/>
    </row>
    <row r="59" spans="2:5" ht="15.75">
      <c r="B59" s="72" t="s">
        <v>122</v>
      </c>
      <c r="C59" s="72" t="s">
        <v>178</v>
      </c>
      <c r="D59" s="72" t="s">
        <v>123</v>
      </c>
      <c r="E59" s="72"/>
    </row>
    <row r="60" spans="2:5" ht="15.75">
      <c r="B60" s="72" t="s">
        <v>124</v>
      </c>
      <c r="C60" s="72" t="s">
        <v>179</v>
      </c>
      <c r="D60" s="72" t="s">
        <v>123</v>
      </c>
      <c r="E60" s="72"/>
    </row>
    <row r="61" spans="2:5" ht="25.5">
      <c r="B61" s="72" t="s">
        <v>125</v>
      </c>
      <c r="C61" s="72" t="s">
        <v>180</v>
      </c>
      <c r="D61" s="72" t="s">
        <v>86</v>
      </c>
      <c r="E61" s="72"/>
    </row>
    <row r="62" spans="2:5" ht="15.75">
      <c r="B62" s="72"/>
      <c r="C62" s="72"/>
      <c r="D62" s="72"/>
      <c r="E62" s="72"/>
    </row>
    <row r="63" spans="2:5" ht="25.5">
      <c r="B63" s="94" t="s">
        <v>126</v>
      </c>
      <c r="C63" s="96"/>
      <c r="D63" s="96"/>
      <c r="E63" s="96"/>
    </row>
    <row r="64" spans="2:5" ht="38.25">
      <c r="B64" s="72" t="s">
        <v>181</v>
      </c>
      <c r="C64" s="72" t="s">
        <v>260</v>
      </c>
      <c r="D64" s="72" t="s">
        <v>182</v>
      </c>
      <c r="E64" s="72"/>
    </row>
    <row r="65" spans="2:5" ht="15.75">
      <c r="B65" s="72"/>
      <c r="C65" s="72"/>
      <c r="D65" s="72"/>
      <c r="E65" s="72"/>
    </row>
    <row r="66" spans="2:5" ht="25.5">
      <c r="B66" s="94" t="s">
        <v>127</v>
      </c>
      <c r="C66" s="96"/>
      <c r="D66" s="96"/>
      <c r="E66" s="96"/>
    </row>
    <row r="67" spans="2:5" ht="25.5">
      <c r="B67" s="72" t="s">
        <v>183</v>
      </c>
      <c r="C67" s="72" t="s">
        <v>184</v>
      </c>
      <c r="D67" s="72" t="s">
        <v>182</v>
      </c>
      <c r="E67" s="72"/>
    </row>
    <row r="68" spans="2:5" ht="25.5">
      <c r="B68" s="72" t="s">
        <v>185</v>
      </c>
      <c r="C68" s="72" t="s">
        <v>184</v>
      </c>
      <c r="D68" s="72" t="s">
        <v>182</v>
      </c>
      <c r="E68" s="72"/>
    </row>
    <row r="69" spans="2:5" ht="25.5">
      <c r="B69" s="72" t="s">
        <v>232</v>
      </c>
      <c r="C69" s="72" t="s">
        <v>184</v>
      </c>
      <c r="D69" s="72" t="s">
        <v>182</v>
      </c>
      <c r="E69" s="72"/>
    </row>
    <row r="70" spans="2:5" ht="25.5">
      <c r="B70" s="72" t="s">
        <v>186</v>
      </c>
      <c r="C70" s="72" t="s">
        <v>184</v>
      </c>
      <c r="D70" s="72" t="s">
        <v>182</v>
      </c>
      <c r="E70" s="72"/>
    </row>
    <row r="71" spans="2:5" ht="25.5">
      <c r="B71" s="72" t="s">
        <v>187</v>
      </c>
      <c r="C71" s="72" t="s">
        <v>188</v>
      </c>
      <c r="D71" s="72" t="s">
        <v>182</v>
      </c>
      <c r="E71" s="72"/>
    </row>
    <row r="72" spans="2:5" ht="38.25">
      <c r="B72" s="72" t="s">
        <v>189</v>
      </c>
      <c r="C72" s="72" t="s">
        <v>184</v>
      </c>
      <c r="D72" s="72" t="s">
        <v>182</v>
      </c>
      <c r="E72" s="72"/>
    </row>
    <row r="73" spans="2:5" ht="25.5">
      <c r="B73" s="72" t="s">
        <v>190</v>
      </c>
      <c r="C73" s="72" t="s">
        <v>261</v>
      </c>
      <c r="D73" s="72" t="s">
        <v>270</v>
      </c>
      <c r="E73" s="72"/>
    </row>
    <row r="74" spans="2:5" ht="15.75">
      <c r="B74" s="94" t="s">
        <v>233</v>
      </c>
      <c r="C74" s="96"/>
      <c r="D74" s="96"/>
      <c r="E74" s="96"/>
    </row>
    <row r="75" spans="2:5" ht="25.5">
      <c r="B75" s="72" t="s">
        <v>234</v>
      </c>
      <c r="C75" s="73" t="s">
        <v>235</v>
      </c>
      <c r="D75" s="72" t="s">
        <v>182</v>
      </c>
      <c r="E75" s="76"/>
    </row>
    <row r="76" spans="2:5" ht="45">
      <c r="B76" s="72" t="s">
        <v>191</v>
      </c>
      <c r="C76" s="75" t="s">
        <v>192</v>
      </c>
      <c r="D76" s="72" t="s">
        <v>182</v>
      </c>
      <c r="E76" s="76"/>
    </row>
    <row r="77" spans="2:5" ht="25.5">
      <c r="B77" s="72" t="s">
        <v>193</v>
      </c>
      <c r="C77" s="73" t="s">
        <v>194</v>
      </c>
      <c r="D77" s="72" t="s">
        <v>182</v>
      </c>
      <c r="E77" s="76"/>
    </row>
    <row r="78" spans="2:5" ht="15.75">
      <c r="B78" s="73" t="s">
        <v>195</v>
      </c>
      <c r="C78" s="76" t="s">
        <v>262</v>
      </c>
      <c r="D78" s="72" t="s">
        <v>182</v>
      </c>
      <c r="E78" s="77"/>
    </row>
    <row r="79" spans="2:5" ht="15.75">
      <c r="B79" s="73" t="s">
        <v>196</v>
      </c>
      <c r="C79" s="77" t="s">
        <v>263</v>
      </c>
      <c r="D79" s="72" t="s">
        <v>182</v>
      </c>
      <c r="E79" s="77"/>
    </row>
    <row r="80" spans="2:5" ht="30">
      <c r="B80" s="73" t="s">
        <v>197</v>
      </c>
      <c r="C80" s="73" t="s">
        <v>198</v>
      </c>
      <c r="D80" s="72" t="s">
        <v>182</v>
      </c>
      <c r="E80" s="77"/>
    </row>
    <row r="81" spans="2:5" ht="20.100000000000001" customHeight="1">
      <c r="B81" s="73" t="s">
        <v>199</v>
      </c>
      <c r="C81" s="73" t="s">
        <v>200</v>
      </c>
      <c r="D81" s="72" t="s">
        <v>182</v>
      </c>
      <c r="E81" s="77"/>
    </row>
  </sheetData>
  <mergeCells count="1">
    <mergeCell ref="B2:F2"/>
  </mergeCells>
  <printOptions horizontalCentered="1"/>
  <pageMargins left="0.25" right="0.25" top="0.5" bottom="0.5" header="0.5" footer="0.5"/>
  <pageSetup paperSize="9" scale="60" orientation="portrait" r:id="rId1"/>
  <headerFooter differentFirst="1" alignWithMargins="0">
    <oddFoote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h F R o V i 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h F R o 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R U a F Y o i k e 4 D g A A A B E A A A A T A B w A R m 9 y b X V s Y X M v U 2 V j d G l v b j E u b S C i G A A o o B Q A A A A A A A A A A A A A A A A A A A A A A A A A A A A r T k 0 u y c z P U w i G 0 I b W A F B L A Q I t A B Q A A g A I A I R U a F Y g O B 9 n p A A A A P U A A A A S A A A A A A A A A A A A A A A A A A A A A A B D b 2 5 m a W c v U G F j a 2 F n Z S 5 4 b W x Q S w E C L Q A U A A I A C A C E V G h W D 8 r p q 6 Q A A A D p A A A A E w A A A A A A A A A A A A A A A A D w A A A A W 0 N v b n R l b n R f V H l w Z X N d L n h t b F B L A Q I t A B Q A A g A I A I R U a F 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x T U J g q Y E G R 6 a 2 u E B b Y t 4 N A A A A A A I A A A A A A A N m A A D A A A A A E A A A A I 8 m 8 6 U i 8 T W M u n J b 6 C A D V 4 4 A A A A A B I A A A K A A A A A Q A A A A 9 d u H Y p I I 1 x x H x 6 H 7 7 Y / Q T V A A A A B x d 6 X J L B L / X E 2 x s / R B m 6 M N F e Y / 9 x U X G G B R W L L C R E B d x g c 6 h J D j + c E 0 4 y Y Q + Q Z I z P w M Z q N K K k n 2 G L b + d b S 3 B B w J N 1 L r 9 + + H H L J + d b s a q u p x e h Q A A A D 0 v d n B e D t t D A N M G I O t b T D m I 6 k v m w = = < / 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28AE7776C35F134CB68FA1385C317399" ma:contentTypeVersion="0" ma:contentTypeDescription="GetOrganized dokument" ma:contentTypeScope="" ma:versionID="a9a69bc1eb9fb39e313edd6d1e6ccee4">
  <xsd:schema xmlns:xsd="http://www.w3.org/2001/XMLSchema" xmlns:xs="http://www.w3.org/2001/XMLSchema" xmlns:p="http://schemas.microsoft.com/office/2006/metadata/properties" xmlns:ns1="http://schemas.microsoft.com/sharepoint/v3" xmlns:ns2="76442B36-E8B0-436C-B47D-8742771D1EEE" targetNamespace="http://schemas.microsoft.com/office/2006/metadata/properties" ma:root="true" ma:fieldsID="fd1877c1341ae27f06bc7b3b99821ab4" ns1:_="" ns2:_="">
    <xsd:import namespace="http://schemas.microsoft.com/sharepoint/v3"/>
    <xsd:import namespace="76442B36-E8B0-436C-B47D-8742771D1EEE"/>
    <xsd:element name="properties">
      <xsd:complexType>
        <xsd:sequence>
          <xsd:element name="documentManagement">
            <xsd:complexType>
              <xsd:all>
                <xsd:element ref="ns2:Dokumenttype"/>
                <xsd:element ref="ns2:DocumentDescription" minOccurs="0"/>
                <xsd:element ref="ns2:CCMAgendaDocumentStatus" minOccurs="0"/>
                <xsd:element ref="ns2:CCMAgendaStatus" minOccurs="0"/>
                <xsd:element ref="ns2:CCMMeetingCaseLink" minOccurs="0"/>
                <xsd:element ref="ns2:AgendaStatusIcon" minOccurs="0"/>
                <xsd:element ref="ns1:Case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SystemID" minOccurs="0"/>
                <xsd:element ref="ns1:WasEncrypted" minOccurs="0"/>
                <xsd:element ref="ns1:WasSigned" minOccurs="0"/>
                <xsd:element ref="ns1:MailHasAttachments" minOccurs="0"/>
                <xsd:element ref="ns2:CCMMeetingCaseId" minOccurs="0"/>
                <xsd:element ref="ns2:CCMMeetingCaseInstanceId" minOccurs="0"/>
                <xsd:element ref="ns2:CCMAgendaItemId" minOccurs="0"/>
                <xsd:element ref="ns1:CCMTemplateID" minOccurs="0"/>
                <xsd:element ref="ns1:CCMVisualId" minOccurs="0"/>
                <xsd:element ref="ns1:CCMConversation" minOccurs="0"/>
                <xsd:element ref="ns1:CCMOriginalDocID" minOccurs="0"/>
                <xsd:element ref="ns1:CCMMetadataExtractionStatus" minOccurs="0"/>
                <xsd:element ref="ns1:CCMPageCount" minOccurs="0"/>
                <xsd:element ref="ns1:CCMCommentCount" minOccurs="0"/>
                <xsd:element ref="ns1:CCMPreviewAnnotationsTasks" minOccurs="0"/>
                <xsd:element ref="ns1:CCMCognitiveType" minOccurs="0"/>
                <xsd:element ref="ns1:CCMOnline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seID" ma:index="14" nillable="true" ma:displayName="Sags ID" ma:default="Tildeler" ma:internalName="CaseID" ma:readOnly="true">
      <xsd:simpleType>
        <xsd:restriction base="dms:Text"/>
      </xsd:simpleType>
    </xsd:element>
    <xsd:element name="DocID" ma:index="15" nillable="true" ma:displayName="Dok ID" ma:default="Tildeler" ma:internalName="DocID" ma:readOnly="true">
      <xsd:simpleType>
        <xsd:restriction base="dms:Text"/>
      </xsd:simpleType>
    </xsd:element>
    <xsd:element name="Finalized" ma:index="16" nillable="true" ma:displayName="Endeligt" ma:default="False" ma:internalName="Finalized" ma:readOnly="true">
      <xsd:simpleType>
        <xsd:restriction base="dms:Boolean"/>
      </xsd:simpleType>
    </xsd:element>
    <xsd:element name="Related" ma:index="17" nillable="true" ma:displayName="Vedhæftet dokument" ma:default="False" ma:internalName="Related" ma:readOnly="true">
      <xsd:simpleType>
        <xsd:restriction base="dms:Boolean"/>
      </xsd:simpleType>
    </xsd:element>
    <xsd:element name="RegistrationDate" ma:index="18" nillable="true" ma:displayName="Registrerings dato" ma:format="DateTime" ma:internalName="RegistrationDate" ma:readOnly="true">
      <xsd:simpleType>
        <xsd:restriction base="dms:DateTime"/>
      </xsd:simpleType>
    </xsd:element>
    <xsd:element name="CaseRecordNumber" ma:index="19" nillable="true" ma:displayName="Akt ID" ma:decimals="0" ma:default="0" ma:internalName="CaseRecordNumber" ma:readOnly="true">
      <xsd:simpleType>
        <xsd:restriction base="dms:Number"/>
      </xsd:simpleType>
    </xsd:element>
    <xsd:element name="LocalAttachment" ma:index="20" nillable="true" ma:displayName="Lokalt bilag" ma:default="False" ma:description="" ma:internalName="LocalAttachment" ma:readOnly="true">
      <xsd:simpleType>
        <xsd:restriction base="dms:Boolean"/>
      </xsd:simpleType>
    </xsd:element>
    <xsd:element name="CCMTemplateName" ma:index="21" nillable="true" ma:displayName="Skabelon navn" ma:internalName="CCMTemplateName" ma:readOnly="true">
      <xsd:simpleType>
        <xsd:restriction base="dms:Text"/>
      </xsd:simpleType>
    </xsd:element>
    <xsd:element name="CCMTemplateVersion" ma:index="22" nillable="true" ma:displayName="Skabelon version" ma:internalName="CCMTemplateVersion" ma:readOnly="true">
      <xsd:simpleType>
        <xsd:restriction base="dms:Text"/>
      </xsd:simpleType>
    </xsd:element>
    <xsd:element name="CCMSystemID" ma:index="23" nillable="true" ma:displayName="CCMSystemID" ma:hidden="true" ma:internalName="CCMSystemID" ma:readOnly="true">
      <xsd:simpleType>
        <xsd:restriction base="dms:Text"/>
      </xsd:simpleType>
    </xsd:element>
    <xsd:element name="WasEncrypted" ma:index="24" nillable="true" ma:displayName="Krypteret" ma:default="False" ma:internalName="WasEncrypted" ma:readOnly="true">
      <xsd:simpleType>
        <xsd:restriction base="dms:Boolean"/>
      </xsd:simpleType>
    </xsd:element>
    <xsd:element name="WasSigned" ma:index="25" nillable="true" ma:displayName="Signeret" ma:default="False" ma:internalName="WasSigned" ma:readOnly="true">
      <xsd:simpleType>
        <xsd:restriction base="dms:Boolean"/>
      </xsd:simpleType>
    </xsd:element>
    <xsd:element name="MailHasAttachments" ma:index="26" nillable="true" ma:displayName="E-mail har vedhæftede filer" ma:default="False" ma:internalName="MailHasAttachments" ma:readOnly="true">
      <xsd:simpleType>
        <xsd:restriction base="dms:Boolean"/>
      </xsd:simpleType>
    </xsd:element>
    <xsd:element name="CCMTemplateID" ma:index="31" nillable="true" ma:displayName="CCMTemplateID" ma:decimals="0" ma:default="0" ma:hidden="true" ma:internalName="CCMTemplateID" ma:readOnly="true">
      <xsd:simpleType>
        <xsd:restriction base="dms:Number"/>
      </xsd:simpleType>
    </xsd:element>
    <xsd:element name="CCMVisualId" ma:index="32" nillable="true" ma:displayName="Sags ID" ma:default="Tildeler" ma:internalName="CCMVisualId" ma:readOnly="true">
      <xsd:simpleType>
        <xsd:restriction base="dms:Text"/>
      </xsd:simpleType>
    </xsd:element>
    <xsd:element name="CCMConversation" ma:index="33" nillable="true" ma:displayName="Samtale" ma:description="" ma:internalName="CCMConversation" ma:readOnly="true">
      <xsd:simpleType>
        <xsd:restriction base="dms:Text"/>
      </xsd:simpleType>
    </xsd:element>
    <xsd:element name="CCMOriginalDocID" ma:index="35" nillable="true" ma:displayName="Originalt Dok ID" ma:description="" ma:internalName="CCMOriginalDocID" ma:readOnly="true">
      <xsd:simpleType>
        <xsd:restriction base="dms:Text"/>
      </xsd:simpleType>
    </xsd:element>
    <xsd:element name="CCMMetadataExtractionStatus" ma:index="37" nillable="true" ma:displayName="CCMMetadataExtractionStatus" ma:default="CCMPageCount:InProgress;CCMCommentCount:InProgress" ma:hidden="true" ma:internalName="CCMMetadataExtractionStatus" ma:readOnly="false">
      <xsd:simpleType>
        <xsd:restriction base="dms:Text"/>
      </xsd:simpleType>
    </xsd:element>
    <xsd:element name="CCMPageCount" ma:index="38" nillable="true" ma:displayName="Sider" ma:decimals="0" ma:description="" ma:internalName="CCMPageCount" ma:readOnly="true">
      <xsd:simpleType>
        <xsd:restriction base="dms:Number"/>
      </xsd:simpleType>
    </xsd:element>
    <xsd:element name="CCMCommentCount" ma:index="39" nillable="true" ma:displayName="Kommentarer" ma:decimals="0" ma:description="" ma:internalName="CCMCommentCount" ma:readOnly="true">
      <xsd:simpleType>
        <xsd:restriction base="dms:Number"/>
      </xsd:simpleType>
    </xsd:element>
    <xsd:element name="CCMPreviewAnnotationsTasks" ma:index="40" nillable="true" ma:displayName="Opgaver" ma:decimals="0" ma:description="" ma:internalName="CCMPreviewAnnotationsTasks" ma:readOnly="true">
      <xsd:simpleType>
        <xsd:restriction base="dms:Number"/>
      </xsd:simpleType>
    </xsd:element>
    <xsd:element name="CCMCognitiveType" ma:index="41" nillable="true" ma:displayName="CognitiveType" ma:decimals="0" ma:description="" ma:internalName="CCMCognitiveType" ma:readOnly="false">
      <xsd:simpleType>
        <xsd:restriction base="dms:Number"/>
      </xsd:simpleType>
    </xsd:element>
    <xsd:element name="CCMOnlineStatus" ma:index="42" nillable="true" ma:displayName="Online status" ma:description="" ma:format="Dropdown" ma:internalName="CCMOnlineStatus" ma:readOnly="true">
      <xsd:simpleType>
        <xsd:restriction base="dms:Choice">
          <xsd:enumeration value="OneDrive"/>
          <xsd:enumeration value="SharePointOnline"/>
          <xsd:enumeration value="Teams"/>
          <xsd:enumeration value="SharePointOnlineSync"/>
        </xsd:restriction>
      </xsd:simpleType>
    </xsd:element>
  </xsd:schema>
  <xsd:schema xmlns:xsd="http://www.w3.org/2001/XMLSchema" xmlns:xs="http://www.w3.org/2001/XMLSchema" xmlns:dms="http://schemas.microsoft.com/office/2006/documentManagement/types" xmlns:pc="http://schemas.microsoft.com/office/infopath/2007/PartnerControls" targetNamespace="76442B36-E8B0-436C-B47D-8742771D1EEE" elementFormDefault="qualified">
    <xsd:import namespace="http://schemas.microsoft.com/office/2006/documentManagement/types"/>
    <xsd:import namespace="http://schemas.microsoft.com/office/infopath/2007/PartnerControls"/>
    <xsd:element name="Dokumenttype" ma:index="2" ma:displayName="Dokumenttype" ma:default="Notat" ma:format="Dropdown" ma:internalName="Dokumenttype">
      <xsd:simpleType>
        <xsd:restriction base="dms:Choice">
          <xsd:enumeration value="Administrativ information"/>
          <xsd:enumeration value="Andet dokument"/>
          <xsd:enumeration value="Brev"/>
          <xsd:enumeration value="Centralt modtaget post"/>
          <xsd:enumeration value="Dagsorden"/>
          <xsd:enumeration value="Fremstilling"/>
          <xsd:enumeration value="Høringssvar"/>
          <xsd:enumeration value="Kontrakt"/>
          <xsd:enumeration value="Notat"/>
          <xsd:enumeration value="Overenskomst"/>
          <xsd:enumeration value="Presseberedskab"/>
          <xsd:enumeration value="Pressemeddelelse"/>
          <xsd:enumeration value="Rapport"/>
          <xsd:enumeration value="Referat"/>
          <xsd:enumeration value="Tale"/>
          <xsd:enumeration value="Temadrøftelse"/>
          <xsd:enumeration value="Projektbeskrivelse"/>
          <xsd:enumeration value="Analysenotat"/>
        </xsd:restriction>
      </xsd:simpleType>
    </xsd:element>
    <xsd:element name="DocumentDescription" ma:index="3" nillable="true" ma:displayName="Beskrivelse" ma:internalName="DocumentDescription">
      <xsd:simpleType>
        <xsd:restriction base="dms:Note">
          <xsd:maxLength value="255"/>
        </xsd:restriction>
      </xsd:simpleType>
    </xsd:element>
    <xsd:element name="CCMAgendaDocumentStatus" ma:index="4" nillable="true" ma:displayName="Status  for manchet" ma:format="Dropdown" ma:internalName="CCMAgendaDocumentStatus">
      <xsd:simpleType>
        <xsd:restriction base="dms:Choice">
          <xsd:enumeration value="Udkast"/>
          <xsd:enumeration value="Under udarbejdelse"/>
          <xsd:enumeration value="Endelig"/>
        </xsd:restriction>
      </xsd:simpleType>
    </xsd:element>
    <xsd:element name="CCMAgendaStatus" ma:index="5" nillable="true" ma:displayName="Dagsordenstatus" ma:default="" ma:format="Dropdown" ma:internalName="CCMAgendaStatus">
      <xsd:simpleType>
        <xsd:restriction base="dms:Choice">
          <xsd:enumeration value="Anmeldt"/>
          <xsd:enumeration value="Optaget på dagsorden"/>
          <xsd:enumeration value="Behandlet"/>
          <xsd:enumeration value="Afvist til dagsorden"/>
          <xsd:enumeration value="Fjernet fra dagsorden"/>
        </xsd:restriction>
      </xsd:simpleType>
    </xsd:element>
    <xsd:element name="CCMMeetingCaseLink" ma:index="6" nillable="true" ma:displayName="Mødesag" ma:format="Hyperlink" ma:internalName="CCMMeetingCaseLink">
      <xsd:complexType>
        <xsd:complexContent>
          <xsd:extension base="dms:URL">
            <xsd:sequence>
              <xsd:element name="Url" type="dms:ValidUrl" minOccurs="0" nillable="true"/>
              <xsd:element name="Description" type="xsd:string" nillable="true"/>
            </xsd:sequence>
          </xsd:extension>
        </xsd:complexContent>
      </xsd:complexType>
    </xsd:element>
    <xsd:element name="AgendaStatusIcon" ma:index="7" nillable="true" ma:displayName="." ma:internalName="AgendaStatusIcon">
      <xsd:simpleType>
        <xsd:restriction base="dms:Unknown"/>
      </xsd:simpleType>
    </xsd:element>
    <xsd:element name="CCMMeetingCaseId" ma:index="27" nillable="true" ma:displayName="CCMMeetingCaseId" ma:hidden="true" ma:internalName="CCMMeetingCaseId">
      <xsd:simpleType>
        <xsd:restriction base="dms:Text">
          <xsd:maxLength value="255"/>
        </xsd:restriction>
      </xsd:simpleType>
    </xsd:element>
    <xsd:element name="CCMMeetingCaseInstanceId" ma:index="28" nillable="true" ma:displayName="CCMMeetingCaseInstanceId" ma:hidden="true" ma:internalName="CCMMeetingCaseInstanceId">
      <xsd:simpleType>
        <xsd:restriction base="dms:Text">
          <xsd:maxLength value="255"/>
        </xsd:restriction>
      </xsd:simpleType>
    </xsd:element>
    <xsd:element name="CCMAgendaItemId" ma:index="29" nillable="true" ma:displayName="CCMAgendaItemId" ma:decimals="0" ma:hidden="true" ma:internalName="CCMAgendaItemId">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CMCognitiveType xmlns="http://schemas.microsoft.com/sharepoint/v3" xsi:nil="true"/>
    <CCMMetadataExtractionStatus xmlns="http://schemas.microsoft.com/sharepoint/v3">CCMPageCount:InProgress;CCMCommentCount:InProgress</CCMMetadataExtractionStatus>
    <LocalAttachment xmlns="http://schemas.microsoft.com/sharepoint/v3">false</LocalAttachment>
    <RegistrationDate xmlns="http://schemas.microsoft.com/sharepoint/v3" xsi:nil="true"/>
    <CaseRecordNumber xmlns="http://schemas.microsoft.com/sharepoint/v3">0</CaseRecordNumber>
    <Related xmlns="http://schemas.microsoft.com/sharepoint/v3">false</Related>
    <Finalized xmlns="http://schemas.microsoft.com/sharepoint/v3">false</Finalized>
    <WasEncrypted xmlns="http://schemas.microsoft.com/sharepoint/v3">false</WasEncrypted>
    <WasSigned xmlns="http://schemas.microsoft.com/sharepoint/v3">false</WasSigned>
    <CCMTemplateID xmlns="http://schemas.microsoft.com/sharepoint/v3">0</CCMTemplateID>
    <CaseID xmlns="http://schemas.microsoft.com/sharepoint/v3">SAG-2023-00013</CaseID>
    <CCMPreviewAnnotationsTasks xmlns="http://schemas.microsoft.com/sharepoint/v3">0</CCMPreviewAnnotationsTasks>
    <CCMVisualId xmlns="http://schemas.microsoft.com/sharepoint/v3">SAG-2023-00013</CCMVisualId>
    <CCMSystemID xmlns="http://schemas.microsoft.com/sharepoint/v3">ca7dc1c5-fc98-48bd-8345-b1ffede9fa82</CCMSystemID>
    <CCMPageCount xmlns="http://schemas.microsoft.com/sharepoint/v3">0</CCMPageCount>
    <DocID xmlns="http://schemas.microsoft.com/sharepoint/v3">3316153</DocID>
    <MailHasAttachments xmlns="http://schemas.microsoft.com/sharepoint/v3">false</MailHasAttachments>
    <CCMCommentCount xmlns="http://schemas.microsoft.com/sharepoint/v3">0</CCMCommentCount>
    <CCMAgendaItemId xmlns="76442B36-E8B0-436C-B47D-8742771D1EEE" xsi:nil="true"/>
    <Dokumenttype xmlns="76442B36-E8B0-436C-B47D-8742771D1EEE">Notat</Dokumenttype>
    <CCMMeetingCaseId xmlns="76442B36-E8B0-436C-B47D-8742771D1EEE" xsi:nil="true"/>
    <CCMMeetingCaseInstanceId xmlns="76442B36-E8B0-436C-B47D-8742771D1EEE" xsi:nil="true"/>
    <DocumentDescription xmlns="76442B36-E8B0-436C-B47D-8742771D1EEE" xsi:nil="true"/>
    <CCMAgendaStatus xmlns="76442B36-E8B0-436C-B47D-8742771D1EEE" xsi:nil="true"/>
    <CCMMeetingCaseLink xmlns="76442B36-E8B0-436C-B47D-8742771D1EEE">
      <Url xsi:nil="true"/>
      <Description xsi:nil="true"/>
    </CCMMeetingCaseLink>
    <CCMAgendaDocumentStatus xmlns="76442B36-E8B0-436C-B47D-8742771D1EEE" xsi:nil="true"/>
    <AgendaStatusIcon xmlns="76442B36-E8B0-436C-B47D-8742771D1EEE" xsi:nil="true"/>
  </documentManagement>
</p:properties>
</file>

<file path=customXml/itemProps1.xml><?xml version="1.0" encoding="utf-8"?>
<ds:datastoreItem xmlns:ds="http://schemas.openxmlformats.org/officeDocument/2006/customXml" ds:itemID="{7394A158-2050-4F00-96DB-B9D9E473B27B}">
  <ds:schemaRefs>
    <ds:schemaRef ds:uri="http://schemas.microsoft.com/DataMashup"/>
  </ds:schemaRefs>
</ds:datastoreItem>
</file>

<file path=customXml/itemProps2.xml><?xml version="1.0" encoding="utf-8"?>
<ds:datastoreItem xmlns:ds="http://schemas.openxmlformats.org/officeDocument/2006/customXml" ds:itemID="{F7A9B470-C5A6-46D3-9C30-ECFF95264522}">
  <ds:schemaRefs>
    <ds:schemaRef ds:uri="http://schemas.microsoft.com/sharepoint/v3/contenttype/forms"/>
  </ds:schemaRefs>
</ds:datastoreItem>
</file>

<file path=customXml/itemProps3.xml><?xml version="1.0" encoding="utf-8"?>
<ds:datastoreItem xmlns:ds="http://schemas.openxmlformats.org/officeDocument/2006/customXml" ds:itemID="{0743DF55-612A-4D2D-B738-C35CBB1A21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6442B36-E8B0-436C-B47D-8742771D1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165F010-E0EA-4A18-8F8A-C385A76096D7}">
  <ds:schemaRefs>
    <ds:schemaRef ds:uri="http://purl.org/dc/terms/"/>
    <ds:schemaRef ds:uri="http://purl.org/dc/elements/1.1/"/>
    <ds:schemaRef ds:uri="http://schemas.microsoft.com/office/2006/documentManagement/types"/>
    <ds:schemaRef ds:uri="http://schemas.microsoft.com/sharepoint/v3"/>
    <ds:schemaRef ds:uri="http://schemas.microsoft.com/office/infopath/2007/PartnerControls"/>
    <ds:schemaRef ds:uri="76442B36-E8B0-436C-B47D-8742771D1EEE"/>
    <ds:schemaRef ds:uri="http://schemas.microsoft.com/office/2006/metadata/properties"/>
    <ds:schemaRef ds:uri="http://purl.org/dc/dcmitype/"/>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Template>TM16400193</Template>
  <Application>Microsoft Excel</Application>
  <DocSecurity>0</DocSecurity>
  <ScaleCrop>false</ScaleCrop>
  <HeadingPairs>
    <vt:vector size="2" baseType="variant">
      <vt:variant>
        <vt:lpstr>Regneark</vt:lpstr>
      </vt:variant>
      <vt:variant>
        <vt:i4>8</vt:i4>
      </vt:variant>
    </vt:vector>
  </HeadingPairs>
  <TitlesOfParts>
    <vt:vector size="8" baseType="lpstr">
      <vt:lpstr>Forside</vt:lpstr>
      <vt:lpstr>Omkostninger</vt:lpstr>
      <vt:lpstr>Fordelingsnøgler</vt:lpstr>
      <vt:lpstr>Enheder</vt:lpstr>
      <vt:lpstr>Beregning af døgntakst</vt:lpstr>
      <vt:lpstr>Omkostningsdefinition</vt:lpstr>
      <vt:lpstr>PL</vt:lpstr>
      <vt:lpstr>Tjekliste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Timeprisberegner</dc:title>
  <dc:creator/>
  <cp:lastModifiedBy/>
  <dcterms:created xsi:type="dcterms:W3CDTF">2020-10-16T05:07:10Z</dcterms:created>
  <dcterms:modified xsi:type="dcterms:W3CDTF">2026-02-02T14:25:51Z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0x010100AC085CFC53BC46CEA2EADE194AD9D4820028AE7776C35F134CB68FA1385C317399</vt:lpwstr>
  </property>
  <property fmtid="{D5CDD505-2E9C-101B-9397-08002B2CF9AE}" pid="3" name="CCMIsSharedOnOneDrive">
    <vt:bool>false</vt:bool>
  </property>
  <property fmtid="{D5CDD505-2E9C-101B-9397-08002B2CF9AE}" pid="4" name="CCMOneDriveID">
    <vt:lpwstr/>
  </property>
  <property fmtid="{D5CDD505-2E9C-101B-9397-08002B2CF9AE}" pid="5" name="CCMOneDriveOwnerID">
    <vt:lpwstr/>
  </property>
  <property fmtid="{D5CDD505-2E9C-101B-9397-08002B2CF9AE}" pid="6" name="CCMOneDriveItemID">
    <vt:lpwstr/>
  </property>
  <property fmtid="{D5CDD505-2E9C-101B-9397-08002B2CF9AE}" pid="7" name="xd_Signature">
    <vt:bool>false</vt:bool>
  </property>
  <property fmtid="{D5CDD505-2E9C-101B-9397-08002B2CF9AE}" pid="8" name="CCMPostListPublishStatus">
    <vt:lpwstr>Afventer godkendelse</vt:lpwstr>
  </property>
  <property fmtid="{D5CDD505-2E9C-101B-9397-08002B2CF9AE}" pid="9" name="CCMMustBeOnPostList">
    <vt:bool>true</vt:bool>
  </property>
  <property fmtid="{D5CDD505-2E9C-101B-9397-08002B2CF9AE}" pid="10" name="CCMSystem">
    <vt:lpwstr> </vt:lpwstr>
  </property>
  <property fmtid="{D5CDD505-2E9C-101B-9397-08002B2CF9AE}" pid="11" name="CCMEventContext">
    <vt:lpwstr>2599b30e-2706-42df-bf6a-cda86d42dbc6</vt:lpwstr>
  </property>
  <property fmtid="{D5CDD505-2E9C-101B-9397-08002B2CF9AE}" pid="12" name="CCMCommunication">
    <vt:lpwstr/>
  </property>
</Properties>
</file>